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tberg.N\Eigene Dateien\Nils Wortberg\Projekte\Lokale Wertschöpfung\Toolkit für Wirtschaftlichkeitsabschätzung\Screencast\Dok. Begleitaufgaben\"/>
    </mc:Choice>
  </mc:AlternateContent>
  <bookViews>
    <workbookView xWindow="0" yWindow="0" windowWidth="28800" windowHeight="12300"/>
  </bookViews>
  <sheets>
    <sheet name="Cash Flow" sheetId="3" r:id="rId1"/>
    <sheet name="Surface Models" sheetId="4" r:id="rId2"/>
    <sheet name="Underground Models" sheetId="5" r:id="rId3"/>
    <sheet name="Mill Models" sheetId="6" r:id="rId4"/>
    <sheet name="NSR" sheetId="7" r:id="rId5"/>
    <sheet name="Metal Equivalents" sheetId="8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C26" i="8" l="1"/>
  <c r="C22" i="8" s="1"/>
  <c r="B22" i="8"/>
  <c r="C21" i="8"/>
  <c r="B21" i="8"/>
  <c r="B19" i="8"/>
  <c r="C18" i="8"/>
  <c r="B18" i="8"/>
  <c r="B17" i="8"/>
  <c r="C17" i="8" l="1"/>
  <c r="C19" i="8"/>
  <c r="H8" i="7"/>
  <c r="D6" i="3" l="1"/>
  <c r="D15" i="3"/>
  <c r="F11" i="3"/>
  <c r="H11" i="3"/>
  <c r="I11" i="3"/>
  <c r="J11" i="3"/>
  <c r="L11" i="3"/>
  <c r="M11" i="3"/>
  <c r="N11" i="3"/>
  <c r="K56" i="6"/>
  <c r="J56" i="6"/>
  <c r="I56" i="6"/>
  <c r="K55" i="6"/>
  <c r="J55" i="6"/>
  <c r="I55" i="6"/>
  <c r="K53" i="6"/>
  <c r="J53" i="6"/>
  <c r="I53" i="6"/>
  <c r="K52" i="6"/>
  <c r="J52" i="6"/>
  <c r="I52" i="6"/>
  <c r="K50" i="6"/>
  <c r="J50" i="6"/>
  <c r="I50" i="6"/>
  <c r="K49" i="6"/>
  <c r="J49" i="6"/>
  <c r="I49" i="6"/>
  <c r="O34" i="3"/>
  <c r="O33" i="3"/>
  <c r="J27" i="3"/>
  <c r="K27" i="3"/>
  <c r="L27" i="3"/>
  <c r="J26" i="3"/>
  <c r="K26" i="3"/>
  <c r="L26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E18" i="3"/>
  <c r="G14" i="3"/>
  <c r="H14" i="3"/>
  <c r="K14" i="3"/>
  <c r="L14" i="3"/>
  <c r="O14" i="3"/>
  <c r="P14" i="3"/>
  <c r="S14" i="3"/>
  <c r="E14" i="3"/>
  <c r="F8" i="3"/>
  <c r="G8" i="3"/>
  <c r="H8" i="3"/>
  <c r="I8" i="3"/>
  <c r="J8" i="3"/>
  <c r="K8" i="3"/>
  <c r="L8" i="3"/>
  <c r="M8" i="3"/>
  <c r="N8" i="3"/>
  <c r="O8" i="3"/>
  <c r="P8" i="3"/>
  <c r="Q8" i="3"/>
  <c r="Q9" i="3"/>
  <c r="R8" i="3"/>
  <c r="S8" i="3"/>
  <c r="E8" i="3"/>
  <c r="F7" i="3"/>
  <c r="F9" i="3"/>
  <c r="G7" i="3"/>
  <c r="H7" i="3"/>
  <c r="H9" i="3"/>
  <c r="I7" i="3"/>
  <c r="I14" i="3"/>
  <c r="J7" i="3"/>
  <c r="J14" i="3"/>
  <c r="K7" i="3"/>
  <c r="L7" i="3"/>
  <c r="M7" i="3"/>
  <c r="M14" i="3"/>
  <c r="N7" i="3"/>
  <c r="N14" i="3"/>
  <c r="O7" i="3"/>
  <c r="P7" i="3"/>
  <c r="P9" i="3"/>
  <c r="Q7" i="3"/>
  <c r="Q14" i="3"/>
  <c r="R7" i="3"/>
  <c r="R9" i="3"/>
  <c r="S7" i="3"/>
  <c r="E7" i="3"/>
  <c r="E9" i="3"/>
  <c r="E6" i="3"/>
  <c r="E10" i="3"/>
  <c r="W18" i="3"/>
  <c r="S11" i="3"/>
  <c r="R11" i="3"/>
  <c r="Q11" i="3"/>
  <c r="P11" i="3"/>
  <c r="O11" i="3"/>
  <c r="G9" i="3"/>
  <c r="L9" i="3"/>
  <c r="O35" i="3"/>
  <c r="O9" i="3"/>
  <c r="S9" i="3"/>
  <c r="J9" i="3"/>
  <c r="K9" i="3"/>
  <c r="M9" i="3"/>
  <c r="N9" i="3"/>
  <c r="E11" i="3"/>
  <c r="R14" i="3"/>
  <c r="F14" i="3"/>
  <c r="I9" i="3"/>
  <c r="K11" i="3"/>
  <c r="G11" i="3"/>
  <c r="E12" i="3"/>
  <c r="E13" i="3"/>
  <c r="E15" i="3"/>
  <c r="F6" i="3"/>
  <c r="F10" i="3"/>
  <c r="E16" i="3"/>
  <c r="E19" i="3"/>
  <c r="F12" i="3"/>
  <c r="F13" i="3"/>
  <c r="F15" i="3"/>
  <c r="F19" i="3"/>
  <c r="G6" i="3"/>
  <c r="G10" i="3"/>
  <c r="F16" i="3"/>
  <c r="G12" i="3"/>
  <c r="G13" i="3"/>
  <c r="G15" i="3"/>
  <c r="G16" i="3"/>
  <c r="H6" i="3"/>
  <c r="H10" i="3"/>
  <c r="G19" i="3"/>
  <c r="H12" i="3"/>
  <c r="H13" i="3"/>
  <c r="H15" i="3"/>
  <c r="H19" i="3"/>
  <c r="H16" i="3"/>
  <c r="I6" i="3"/>
  <c r="I10" i="3"/>
  <c r="I12" i="3"/>
  <c r="I13" i="3"/>
  <c r="I15" i="3"/>
  <c r="I16" i="3"/>
  <c r="J6" i="3"/>
  <c r="J10" i="3"/>
  <c r="I19" i="3"/>
  <c r="J12" i="3"/>
  <c r="J13" i="3"/>
  <c r="J15" i="3"/>
  <c r="J16" i="3"/>
  <c r="K6" i="3"/>
  <c r="K10" i="3"/>
  <c r="J19" i="3"/>
  <c r="K12" i="3"/>
  <c r="K13" i="3"/>
  <c r="K15" i="3"/>
  <c r="K16" i="3"/>
  <c r="L6" i="3"/>
  <c r="L10" i="3"/>
  <c r="K19" i="3"/>
  <c r="L12" i="3"/>
  <c r="L13" i="3"/>
  <c r="L15" i="3"/>
  <c r="L16" i="3"/>
  <c r="M16" i="3"/>
  <c r="M6" i="3"/>
  <c r="M10" i="3"/>
  <c r="L19" i="3"/>
  <c r="M12" i="3"/>
  <c r="M13" i="3"/>
  <c r="N16" i="3"/>
  <c r="M15" i="3"/>
  <c r="N6" i="3"/>
  <c r="N10" i="3"/>
  <c r="M19" i="3"/>
  <c r="N12" i="3"/>
  <c r="N13" i="3"/>
  <c r="O16" i="3"/>
  <c r="N15" i="3"/>
  <c r="E21" i="3"/>
  <c r="N19" i="3"/>
  <c r="E20" i="3"/>
  <c r="O6" i="3"/>
  <c r="O10" i="3"/>
  <c r="O12" i="3"/>
  <c r="O13" i="3"/>
  <c r="P16" i="3"/>
  <c r="O15" i="3"/>
  <c r="O19" i="3"/>
  <c r="P6" i="3"/>
  <c r="P10" i="3"/>
  <c r="P12" i="3"/>
  <c r="P13" i="3"/>
  <c r="Q16" i="3"/>
  <c r="P15" i="3"/>
  <c r="Q6" i="3"/>
  <c r="Q10" i="3"/>
  <c r="P19" i="3"/>
  <c r="Q12" i="3"/>
  <c r="Q13" i="3"/>
  <c r="R16" i="3"/>
  <c r="Q15" i="3"/>
  <c r="R6" i="3"/>
  <c r="R10" i="3"/>
  <c r="Q19" i="3"/>
  <c r="R12" i="3"/>
  <c r="R13" i="3"/>
  <c r="R15" i="3"/>
  <c r="S6" i="3"/>
  <c r="S10" i="3"/>
  <c r="R19" i="3"/>
  <c r="S16" i="3"/>
  <c r="S12" i="3"/>
  <c r="S13" i="3"/>
  <c r="S15" i="3"/>
  <c r="S19" i="3"/>
</calcChain>
</file>

<file path=xl/sharedStrings.xml><?xml version="1.0" encoding="utf-8"?>
<sst xmlns="http://schemas.openxmlformats.org/spreadsheetml/2006/main" count="325" uniqueCount="149">
  <si>
    <t xml:space="preserve"> </t>
  </si>
  <si>
    <t>t</t>
  </si>
  <si>
    <t>%</t>
  </si>
  <si>
    <r>
      <t>q</t>
    </r>
    <r>
      <rPr>
        <vertAlign val="superscript"/>
        <sz val="10"/>
        <rFont val="Arial"/>
        <family val="2"/>
      </rPr>
      <t>-n</t>
    </r>
    <r>
      <rPr>
        <sz val="10"/>
        <rFont val="Arial"/>
      </rPr>
      <t>=(1+0,1)</t>
    </r>
    <r>
      <rPr>
        <vertAlign val="superscript"/>
        <sz val="10"/>
        <rFont val="Arial"/>
        <family val="2"/>
      </rPr>
      <t>-n</t>
    </r>
  </si>
  <si>
    <t>Total operation cost</t>
  </si>
  <si>
    <t>Entry data for Cash Flow:</t>
  </si>
  <si>
    <t>Interests on loans:</t>
  </si>
  <si>
    <t>Royalties on gross income:</t>
  </si>
  <si>
    <t>Variable</t>
  </si>
  <si>
    <t>Line</t>
  </si>
  <si>
    <t>Investment / remaining loan amount</t>
  </si>
  <si>
    <t>Mathematical operation</t>
  </si>
  <si>
    <t>Operation costs</t>
  </si>
  <si>
    <t>Gross income (cashflow before interests and taxes)</t>
  </si>
  <si>
    <t>Revenue</t>
  </si>
  <si>
    <t>Depreciation</t>
  </si>
  <si>
    <t>Line 2 - Line 3</t>
  </si>
  <si>
    <t>Line 4 - Line  5 - Line 6</t>
  </si>
  <si>
    <t>Sum Line 13 - Line 1</t>
  </si>
  <si>
    <t>Discount rate:</t>
  </si>
  <si>
    <t>Taxes on net income
(after interests and depreciations):</t>
  </si>
  <si>
    <t>Annual Production:</t>
  </si>
  <si>
    <t xml:space="preserve">% on the value in Line 7
</t>
  </si>
  <si>
    <t xml:space="preserve">% on the value in Line 1
</t>
  </si>
  <si>
    <t xml:space="preserve">% on the value in Line 2
</t>
  </si>
  <si>
    <t xml:space="preserve">Interests on the remaining loan value
</t>
  </si>
  <si>
    <t xml:space="preserve">Royalties on the revenue
</t>
  </si>
  <si>
    <t xml:space="preserve">Cash flow after the repayment of the loan  (Line 1)
</t>
  </si>
  <si>
    <t xml:space="preserve">In year n, remaining difference of year n-1
</t>
  </si>
  <si>
    <t>Line 10 x Line 12</t>
  </si>
  <si>
    <t>Investment is depreciated linearly over 10 years</t>
  </si>
  <si>
    <t xml:space="preserve">Annual production x price per ton
</t>
  </si>
  <si>
    <t xml:space="preserve">Total operation costs x annual production
</t>
  </si>
  <si>
    <t>Line 4- Line 5- Line 8 - Line 9</t>
  </si>
  <si>
    <t>Revenue per ton (NSR):</t>
  </si>
  <si>
    <t xml:space="preserve">Discounted cash flow (DCR)
</t>
  </si>
  <si>
    <t>0=(cash flows)/((1+q)^n)-Investment</t>
  </si>
  <si>
    <t>Iterative approach. Adjust the discount rate to get an NPV of zero. This discount rate is the IRR</t>
  </si>
  <si>
    <t>LOM</t>
  </si>
  <si>
    <t>OP</t>
  </si>
  <si>
    <t>UG</t>
  </si>
  <si>
    <t>Daily tonnage</t>
  </si>
  <si>
    <t>Formula</t>
  </si>
  <si>
    <t>Reserve</t>
  </si>
  <si>
    <t>tonnage = 0,123 * t ^0,65</t>
  </si>
  <si>
    <t>tonnage = 0,297 * t ^0,56</t>
  </si>
  <si>
    <t>annual tonnage</t>
  </si>
  <si>
    <t>NSR</t>
  </si>
  <si>
    <t>Commodity</t>
  </si>
  <si>
    <t>Percentage of the NSR</t>
  </si>
  <si>
    <t>Revovery %</t>
  </si>
  <si>
    <t>for the mine</t>
  </si>
  <si>
    <t>Cu (%)</t>
  </si>
  <si>
    <t>Au (oz)</t>
  </si>
  <si>
    <t>(tonnes)</t>
  </si>
  <si>
    <t xml:space="preserve"> 1:1</t>
  </si>
  <si>
    <t>4:1</t>
  </si>
  <si>
    <t>8:1</t>
  </si>
  <si>
    <t>2:1</t>
  </si>
  <si>
    <t>Shrinkage</t>
  </si>
  <si>
    <t>Underground</t>
  </si>
  <si>
    <t>(tonnes/day)</t>
  </si>
  <si>
    <t>Loading</t>
  </si>
  <si>
    <t>Leaching</t>
  </si>
  <si>
    <t xml:space="preserve"> Crushed</t>
  </si>
  <si>
    <t>Agglomerated</t>
  </si>
  <si>
    <t>Sediment-hosted Cu deposit</t>
  </si>
  <si>
    <t>Cu %</t>
  </si>
  <si>
    <r>
      <t xml:space="preserve">Profit </t>
    </r>
    <r>
      <rPr>
        <sz val="10"/>
        <color indexed="10"/>
        <rFont val="Arial"/>
        <family val="2"/>
      </rPr>
      <t>(Loss)</t>
    </r>
  </si>
  <si>
    <t>Porphyry Cu deposit</t>
  </si>
  <si>
    <t>Cu skarn deposit</t>
  </si>
  <si>
    <t>Pb-Zn skarn and replacement deposit</t>
  </si>
  <si>
    <t>Zn (%)</t>
  </si>
  <si>
    <t>Pb (%)</t>
  </si>
  <si>
    <t>Ag (oz)</t>
  </si>
  <si>
    <t>Carbonate-hosted Pb-Zn deposit</t>
  </si>
  <si>
    <t xml:space="preserve">Volcanogenic massive sulphide Pb-Zn deposit </t>
  </si>
  <si>
    <t>Metal grades</t>
  </si>
  <si>
    <t>Recovery</t>
  </si>
  <si>
    <t>Metal 1</t>
  </si>
  <si>
    <t>Cu</t>
  </si>
  <si>
    <t>Metal 2</t>
  </si>
  <si>
    <t>Zn</t>
  </si>
  <si>
    <t>Metal 3</t>
  </si>
  <si>
    <t>Pb</t>
  </si>
  <si>
    <t>Metal 4</t>
  </si>
  <si>
    <t>Au</t>
  </si>
  <si>
    <t>Metal 5</t>
  </si>
  <si>
    <t>Ag</t>
  </si>
  <si>
    <t>Equivalent values</t>
  </si>
  <si>
    <t>[%]</t>
  </si>
  <si>
    <t>Metal 1 Eq</t>
  </si>
  <si>
    <t>Metal 2 Eq</t>
  </si>
  <si>
    <t>Metal 3 Eq</t>
  </si>
  <si>
    <t>[oz/t]</t>
  </si>
  <si>
    <t>Metal 4 Eq</t>
  </si>
  <si>
    <t>Metal 5 Eq</t>
  </si>
  <si>
    <t>Ore value</t>
  </si>
  <si>
    <t>ᴓ Ore grade [%]</t>
  </si>
  <si>
    <t>ᴓ = Ore grade [oz/t]</t>
  </si>
  <si>
    <t>USD/t ore</t>
  </si>
  <si>
    <t>Metal price [USD/lb]</t>
  </si>
  <si>
    <t>Metal price [USD/oz]</t>
  </si>
  <si>
    <t>NSR (USD/t)</t>
  </si>
  <si>
    <t>- Opex (USD/t)</t>
  </si>
  <si>
    <t>Metal grade</t>
  </si>
  <si>
    <t>Conversation factor</t>
  </si>
  <si>
    <t>Metal price</t>
  </si>
  <si>
    <r>
      <t xml:space="preserve">Operating profit </t>
    </r>
    <r>
      <rPr>
        <b/>
        <sz val="12"/>
        <color indexed="10"/>
        <rFont val="Arial"/>
        <family val="2"/>
      </rPr>
      <t xml:space="preserve">(Loss) </t>
    </r>
    <r>
      <rPr>
        <b/>
        <sz val="12"/>
        <rFont val="Arial"/>
        <family val="2"/>
      </rPr>
      <t xml:space="preserve">for different metal deposit models </t>
    </r>
  </si>
  <si>
    <t>Metal equivalent calculator</t>
  </si>
  <si>
    <t>CapEx</t>
  </si>
  <si>
    <t>OpEx</t>
  </si>
  <si>
    <t>Flotation mills</t>
  </si>
  <si>
    <t>Number of concentrate products</t>
  </si>
  <si>
    <t>Ore feed rate</t>
  </si>
  <si>
    <t xml:space="preserve"> Carbon-in-pulp mills</t>
  </si>
  <si>
    <t xml:space="preserve"> Agitation leach mills</t>
  </si>
  <si>
    <t>Heap leaching</t>
  </si>
  <si>
    <t>Daily ore production</t>
  </si>
  <si>
    <t xml:space="preserve"> Run of mine</t>
  </si>
  <si>
    <t>Adsorbtion/ desorption</t>
  </si>
  <si>
    <t>ROM + leach</t>
  </si>
  <si>
    <t>Crush + leach</t>
  </si>
  <si>
    <t>Agglo + leach</t>
  </si>
  <si>
    <t>Adit entry</t>
  </si>
  <si>
    <t>Shaft entry</t>
  </si>
  <si>
    <t>Cut &amp; fill</t>
  </si>
  <si>
    <t>Mechanized cut &amp; fill</t>
  </si>
  <si>
    <t>End slice</t>
  </si>
  <si>
    <t>Vertical crater retreat (VCR)</t>
  </si>
  <si>
    <t>Sublevel longhole</t>
  </si>
  <si>
    <t>Room &amp; pillar</t>
  </si>
  <si>
    <t>Sublevel caving</t>
  </si>
  <si>
    <t>Block caving</t>
  </si>
  <si>
    <t>Open pit</t>
  </si>
  <si>
    <t>Waste to ore ratios</t>
  </si>
  <si>
    <t>Cash Flow for a mining project  (in USD)</t>
  </si>
  <si>
    <t>Mining USD/t</t>
  </si>
  <si>
    <t>Milling USD/t</t>
  </si>
  <si>
    <t>USD</t>
  </si>
  <si>
    <t>Investment (CapEx):</t>
  </si>
  <si>
    <t>Closure (CapEx)</t>
  </si>
  <si>
    <t>Operation cost (OpEx):</t>
  </si>
  <si>
    <t>Internal rate of return (IRR)  NPV=0</t>
  </si>
  <si>
    <t>Net present value (NPV)</t>
  </si>
  <si>
    <t xml:space="preserve">Discount rate
</t>
  </si>
  <si>
    <t xml:space="preserve">Tax base: gross income minus
interests and depreciations
</t>
  </si>
  <si>
    <t xml:space="preserve">Taxes on the income after interest and depreciations
</t>
  </si>
  <si>
    <t>Net income (cash flow
after interests, taxes and royalties)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</si>
</sst>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0"/>
    <numFmt numFmtId="165" formatCode="0.0%"/>
    <numFmt numFmtId="166" formatCode="#,##0.0"/>
    <numFmt numFmtId="167" formatCode="0.000"/>
    <numFmt numFmtId="168" formatCode="0.0"/>
  </numFmts>
  <fonts count="27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Arial"/>
      <family val="2"/>
    </font>
    <font>
      <sz val="11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 applyAlignment="1">
      <alignment wrapText="1"/>
    </xf>
    <xf numFmtId="3" fontId="0" fillId="0" borderId="2" xfId="0" applyNumberFormat="1" applyBorder="1"/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/>
    <xf numFmtId="3" fontId="0" fillId="0" borderId="3" xfId="0" applyNumberFormat="1" applyBorder="1"/>
    <xf numFmtId="3" fontId="0" fillId="0" borderId="3" xfId="0" applyNumberFormat="1" applyBorder="1" applyAlignment="1">
      <alignment wrapText="1"/>
    </xf>
    <xf numFmtId="0" fontId="0" fillId="2" borderId="4" xfId="0" applyFill="1" applyBorder="1"/>
    <xf numFmtId="4" fontId="0" fillId="2" borderId="4" xfId="0" applyNumberFormat="1" applyFill="1" applyBorder="1"/>
    <xf numFmtId="4" fontId="0" fillId="2" borderId="5" xfId="0" applyNumberFormat="1" applyFill="1" applyBorder="1"/>
    <xf numFmtId="0" fontId="0" fillId="2" borderId="6" xfId="0" applyFill="1" applyBorder="1"/>
    <xf numFmtId="0" fontId="0" fillId="2" borderId="0" xfId="0" applyFill="1" applyBorder="1"/>
    <xf numFmtId="4" fontId="0" fillId="2" borderId="0" xfId="0" applyNumberFormat="1" applyFill="1" applyBorder="1"/>
    <xf numFmtId="4" fontId="0" fillId="2" borderId="7" xfId="0" applyNumberFormat="1" applyFill="1" applyBorder="1"/>
    <xf numFmtId="2" fontId="0" fillId="2" borderId="7" xfId="0" applyNumberFormat="1" applyFill="1" applyBorder="1"/>
    <xf numFmtId="0" fontId="0" fillId="2" borderId="8" xfId="0" applyFill="1" applyBorder="1"/>
    <xf numFmtId="2" fontId="0" fillId="2" borderId="9" xfId="0" applyNumberFormat="1" applyFill="1" applyBorder="1"/>
    <xf numFmtId="0" fontId="0" fillId="2" borderId="10" xfId="0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3" fontId="0" fillId="0" borderId="0" xfId="0" applyNumberFormat="1" applyFill="1"/>
    <xf numFmtId="3" fontId="0" fillId="0" borderId="12" xfId="0" applyNumberFormat="1" applyBorder="1"/>
    <xf numFmtId="164" fontId="0" fillId="0" borderId="3" xfId="0" applyNumberFormat="1" applyBorder="1"/>
    <xf numFmtId="3" fontId="0" fillId="0" borderId="13" xfId="0" applyNumberFormat="1" applyBorder="1" applyAlignment="1">
      <alignment wrapText="1"/>
    </xf>
    <xf numFmtId="3" fontId="0" fillId="0" borderId="13" xfId="0" applyNumberFormat="1" applyBorder="1"/>
    <xf numFmtId="3" fontId="3" fillId="0" borderId="14" xfId="0" applyNumberFormat="1" applyFont="1" applyFill="1" applyBorder="1"/>
    <xf numFmtId="3" fontId="3" fillId="0" borderId="0" xfId="0" applyNumberFormat="1" applyFont="1" applyFill="1" applyBorder="1"/>
    <xf numFmtId="3" fontId="0" fillId="0" borderId="15" xfId="0" applyNumberForma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5" fillId="2" borderId="16" xfId="0" applyFont="1" applyFill="1" applyBorder="1"/>
    <xf numFmtId="3" fontId="0" fillId="0" borderId="3" xfId="0" applyNumberFormat="1" applyBorder="1" applyAlignment="1">
      <alignment vertical="top"/>
    </xf>
    <xf numFmtId="3" fontId="1" fillId="0" borderId="3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3" fontId="0" fillId="0" borderId="0" xfId="0" applyNumberForma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4" fontId="0" fillId="2" borderId="20" xfId="0" applyNumberFormat="1" applyFill="1" applyBorder="1"/>
    <xf numFmtId="0" fontId="0" fillId="2" borderId="21" xfId="0" applyFill="1" applyBorder="1"/>
    <xf numFmtId="4" fontId="1" fillId="2" borderId="0" xfId="0" applyNumberFormat="1" applyFont="1" applyFill="1" applyBorder="1"/>
    <xf numFmtId="0" fontId="4" fillId="2" borderId="22" xfId="0" applyFont="1" applyFill="1" applyBorder="1"/>
    <xf numFmtId="0" fontId="1" fillId="2" borderId="6" xfId="0" applyFont="1" applyFill="1" applyBorder="1"/>
    <xf numFmtId="3" fontId="9" fillId="2" borderId="15" xfId="0" applyNumberFormat="1" applyFont="1" applyFill="1" applyBorder="1"/>
    <xf numFmtId="3" fontId="10" fillId="2" borderId="23" xfId="0" applyNumberFormat="1" applyFont="1" applyFill="1" applyBorder="1"/>
    <xf numFmtId="3" fontId="9" fillId="2" borderId="24" xfId="0" applyNumberFormat="1" applyFont="1" applyFill="1" applyBorder="1" applyAlignment="1">
      <alignment vertical="top"/>
    </xf>
    <xf numFmtId="3" fontId="9" fillId="3" borderId="25" xfId="0" applyNumberFormat="1" applyFont="1" applyFill="1" applyBorder="1"/>
    <xf numFmtId="3" fontId="9" fillId="3" borderId="26" xfId="0" applyNumberFormat="1" applyFont="1" applyFill="1" applyBorder="1"/>
    <xf numFmtId="3" fontId="0" fillId="4" borderId="19" xfId="0" applyNumberFormat="1" applyFill="1" applyBorder="1" applyAlignment="1">
      <alignment vertical="top"/>
    </xf>
    <xf numFmtId="3" fontId="0" fillId="4" borderId="13" xfId="0" applyNumberFormat="1" applyFill="1" applyBorder="1"/>
    <xf numFmtId="3" fontId="1" fillId="0" borderId="3" xfId="0" applyNumberFormat="1" applyFon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3" fontId="1" fillId="4" borderId="13" xfId="0" applyNumberFormat="1" applyFont="1" applyFill="1" applyBorder="1" applyAlignment="1">
      <alignment wrapText="1"/>
    </xf>
    <xf numFmtId="3" fontId="0" fillId="4" borderId="0" xfId="0" applyNumberFormat="1" applyFill="1"/>
    <xf numFmtId="3" fontId="0" fillId="2" borderId="0" xfId="0" applyNumberFormat="1" applyFill="1" applyBorder="1"/>
    <xf numFmtId="166" fontId="0" fillId="0" borderId="0" xfId="0" applyNumberFormat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2" fontId="1" fillId="0" borderId="29" xfId="0" quotePrefix="1" applyNumberFormat="1" applyFont="1" applyBorder="1" applyAlignment="1">
      <alignment horizontal="right"/>
    </xf>
    <xf numFmtId="167" fontId="0" fillId="0" borderId="29" xfId="0" applyNumberFormat="1" applyBorder="1"/>
    <xf numFmtId="2" fontId="0" fillId="0" borderId="29" xfId="0" applyNumberFormat="1" applyBorder="1" applyAlignment="1">
      <alignment horizontal="right"/>
    </xf>
    <xf numFmtId="0" fontId="1" fillId="0" borderId="27" xfId="0" applyFont="1" applyBorder="1"/>
    <xf numFmtId="2" fontId="1" fillId="0" borderId="27" xfId="0" applyNumberFormat="1" applyFont="1" applyBorder="1"/>
    <xf numFmtId="0" fontId="1" fillId="0" borderId="28" xfId="0" applyFont="1" applyBorder="1"/>
    <xf numFmtId="2" fontId="1" fillId="0" borderId="28" xfId="0" quotePrefix="1" applyNumberFormat="1" applyFont="1" applyBorder="1" applyAlignment="1">
      <alignment horizontal="right"/>
    </xf>
    <xf numFmtId="167" fontId="0" fillId="0" borderId="28" xfId="0" applyNumberFormat="1" applyBorder="1"/>
    <xf numFmtId="2" fontId="0" fillId="0" borderId="28" xfId="0" applyNumberFormat="1" applyBorder="1" applyAlignment="1">
      <alignment horizontal="right"/>
    </xf>
    <xf numFmtId="2" fontId="0" fillId="0" borderId="28" xfId="0" applyNumberFormat="1" applyBorder="1"/>
    <xf numFmtId="2" fontId="1" fillId="0" borderId="28" xfId="0" applyNumberFormat="1" applyFont="1" applyBorder="1"/>
    <xf numFmtId="0" fontId="0" fillId="0" borderId="0" xfId="0" applyBorder="1"/>
    <xf numFmtId="0" fontId="0" fillId="0" borderId="30" xfId="0" applyBorder="1"/>
    <xf numFmtId="0" fontId="0" fillId="0" borderId="31" xfId="0" applyBorder="1"/>
    <xf numFmtId="0" fontId="1" fillId="0" borderId="0" xfId="0" quotePrefix="1" applyFont="1" applyBorder="1"/>
    <xf numFmtId="2" fontId="1" fillId="0" borderId="0" xfId="0" applyNumberFormat="1" applyFont="1" applyBorder="1"/>
    <xf numFmtId="0" fontId="1" fillId="0" borderId="0" xfId="0" applyFont="1" applyBorder="1"/>
    <xf numFmtId="2" fontId="7" fillId="0" borderId="0" xfId="0" applyNumberFormat="1" applyFont="1" applyBorder="1"/>
    <xf numFmtId="2" fontId="1" fillId="0" borderId="3" xfId="0" applyNumberFormat="1" applyFont="1" applyBorder="1"/>
    <xf numFmtId="0" fontId="1" fillId="0" borderId="0" xfId="0" applyFont="1"/>
    <xf numFmtId="0" fontId="11" fillId="0" borderId="0" xfId="0" applyFont="1" applyFill="1" applyBorder="1"/>
    <xf numFmtId="4" fontId="11" fillId="0" borderId="0" xfId="0" applyNumberFormat="1" applyFont="1" applyFill="1" applyBorder="1"/>
    <xf numFmtId="4" fontId="11" fillId="0" borderId="32" xfId="0" applyNumberFormat="1" applyFont="1" applyFill="1" applyBorder="1"/>
    <xf numFmtId="3" fontId="11" fillId="0" borderId="0" xfId="0" applyNumberFormat="1" applyFont="1" applyFill="1" applyBorder="1"/>
    <xf numFmtId="3" fontId="11" fillId="0" borderId="32" xfId="0" applyNumberFormat="1" applyFont="1" applyFill="1" applyBorder="1"/>
    <xf numFmtId="2" fontId="11" fillId="0" borderId="0" xfId="0" applyNumberFormat="1" applyFont="1" applyFill="1" applyBorder="1"/>
    <xf numFmtId="3" fontId="11" fillId="0" borderId="8" xfId="0" applyNumberFormat="1" applyFont="1" applyFill="1" applyBorder="1"/>
    <xf numFmtId="3" fontId="11" fillId="0" borderId="33" xfId="0" applyNumberFormat="1" applyFont="1" applyFill="1" applyBorder="1"/>
    <xf numFmtId="0" fontId="8" fillId="0" borderId="34" xfId="0" applyFont="1" applyBorder="1"/>
    <xf numFmtId="0" fontId="8" fillId="0" borderId="35" xfId="0" applyFont="1" applyBorder="1"/>
    <xf numFmtId="3" fontId="8" fillId="0" borderId="35" xfId="0" applyNumberFormat="1" applyFont="1" applyBorder="1"/>
    <xf numFmtId="3" fontId="8" fillId="0" borderId="36" xfId="0" applyNumberFormat="1" applyFont="1" applyBorder="1"/>
    <xf numFmtId="0" fontId="8" fillId="0" borderId="36" xfId="0" applyFont="1" applyBorder="1"/>
    <xf numFmtId="49" fontId="12" fillId="0" borderId="8" xfId="0" applyNumberFormat="1" applyFont="1" applyFill="1" applyBorder="1" applyAlignment="1">
      <alignment horizontal="right"/>
    </xf>
    <xf numFmtId="49" fontId="12" fillId="0" borderId="33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0" xfId="0" applyFont="1" applyBorder="1"/>
    <xf numFmtId="0" fontId="13" fillId="0" borderId="37" xfId="0" applyFont="1" applyBorder="1"/>
    <xf numFmtId="0" fontId="1" fillId="0" borderId="20" xfId="0" applyFont="1" applyBorder="1"/>
    <xf numFmtId="0" fontId="12" fillId="0" borderId="20" xfId="0" applyFont="1" applyBorder="1"/>
    <xf numFmtId="3" fontId="12" fillId="0" borderId="20" xfId="0" applyNumberFormat="1" applyFont="1" applyBorder="1"/>
    <xf numFmtId="0" fontId="1" fillId="0" borderId="14" xfId="0" applyFont="1" applyBorder="1"/>
    <xf numFmtId="0" fontId="11" fillId="0" borderId="32" xfId="0" applyFont="1" applyBorder="1"/>
    <xf numFmtId="3" fontId="11" fillId="0" borderId="0" xfId="0" applyNumberFormat="1" applyFont="1" applyBorder="1"/>
    <xf numFmtId="3" fontId="11" fillId="0" borderId="32" xfId="0" applyNumberFormat="1" applyFont="1" applyBorder="1"/>
    <xf numFmtId="0" fontId="1" fillId="0" borderId="38" xfId="0" applyFont="1" applyBorder="1"/>
    <xf numFmtId="0" fontId="1" fillId="0" borderId="8" xfId="0" applyFont="1" applyBorder="1"/>
    <xf numFmtId="3" fontId="11" fillId="0" borderId="8" xfId="0" applyNumberFormat="1" applyFont="1" applyBorder="1"/>
    <xf numFmtId="3" fontId="11" fillId="0" borderId="33" xfId="0" applyNumberFormat="1" applyFont="1" applyBorder="1"/>
    <xf numFmtId="2" fontId="11" fillId="0" borderId="32" xfId="0" applyNumberFormat="1" applyFont="1" applyBorder="1"/>
    <xf numFmtId="4" fontId="12" fillId="0" borderId="20" xfId="0" applyNumberFormat="1" applyFont="1" applyBorder="1"/>
    <xf numFmtId="2" fontId="11" fillId="0" borderId="0" xfId="0" applyNumberFormat="1" applyFont="1" applyBorder="1"/>
    <xf numFmtId="3" fontId="12" fillId="0" borderId="39" xfId="0" applyNumberFormat="1" applyFont="1" applyBorder="1"/>
    <xf numFmtId="0" fontId="12" fillId="0" borderId="40" xfId="0" applyFont="1" applyBorder="1"/>
    <xf numFmtId="0" fontId="12" fillId="0" borderId="4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41" xfId="0" applyFont="1" applyBorder="1"/>
    <xf numFmtId="0" fontId="12" fillId="0" borderId="41" xfId="0" applyFont="1" applyBorder="1" applyAlignment="1">
      <alignment horizontal="right"/>
    </xf>
    <xf numFmtId="0" fontId="11" fillId="0" borderId="0" xfId="0" applyFont="1" applyFill="1"/>
    <xf numFmtId="3" fontId="11" fillId="0" borderId="0" xfId="0" applyNumberFormat="1" applyFont="1" applyFill="1"/>
    <xf numFmtId="2" fontId="11" fillId="0" borderId="0" xfId="0" applyNumberFormat="1" applyFont="1" applyFill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3" fontId="9" fillId="3" borderId="42" xfId="0" applyNumberFormat="1" applyFont="1" applyFill="1" applyBorder="1"/>
    <xf numFmtId="165" fontId="7" fillId="3" borderId="43" xfId="0" applyNumberFormat="1" applyFont="1" applyFill="1" applyBorder="1"/>
    <xf numFmtId="165" fontId="7" fillId="3" borderId="44" xfId="0" applyNumberFormat="1" applyFont="1" applyFill="1" applyBorder="1"/>
    <xf numFmtId="0" fontId="6" fillId="0" borderId="0" xfId="0" applyFont="1"/>
    <xf numFmtId="0" fontId="17" fillId="0" borderId="0" xfId="0" applyFont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0" fillId="0" borderId="0" xfId="0" applyNumberFormat="1"/>
    <xf numFmtId="2" fontId="18" fillId="0" borderId="0" xfId="0" applyNumberFormat="1" applyFont="1"/>
    <xf numFmtId="0" fontId="1" fillId="0" borderId="45" xfId="0" applyFont="1" applyBorder="1"/>
    <xf numFmtId="0" fontId="1" fillId="0" borderId="40" xfId="0" applyFont="1" applyBorder="1"/>
    <xf numFmtId="0" fontId="1" fillId="0" borderId="46" xfId="0" applyFont="1" applyBorder="1"/>
    <xf numFmtId="2" fontId="0" fillId="0" borderId="0" xfId="0" applyNumberFormat="1" applyFill="1" applyBorder="1"/>
    <xf numFmtId="0" fontId="1" fillId="0" borderId="28" xfId="0" quotePrefix="1" applyFont="1" applyBorder="1"/>
    <xf numFmtId="0" fontId="1" fillId="0" borderId="47" xfId="0" applyFont="1" applyBorder="1"/>
    <xf numFmtId="0" fontId="1" fillId="0" borderId="41" xfId="0" applyFont="1" applyBorder="1"/>
    <xf numFmtId="0" fontId="1" fillId="0" borderId="48" xfId="0" applyFont="1" applyBorder="1"/>
    <xf numFmtId="2" fontId="7" fillId="0" borderId="28" xfId="0" applyNumberFormat="1" applyFont="1" applyBorder="1"/>
    <xf numFmtId="2" fontId="20" fillId="0" borderId="29" xfId="0" quotePrefix="1" applyNumberFormat="1" applyFont="1" applyBorder="1" applyAlignment="1">
      <alignment horizontal="right"/>
    </xf>
    <xf numFmtId="2" fontId="20" fillId="0" borderId="28" xfId="0" quotePrefix="1" applyNumberFormat="1" applyFont="1" applyBorder="1" applyAlignment="1">
      <alignment horizontal="right"/>
    </xf>
    <xf numFmtId="168" fontId="20" fillId="0" borderId="28" xfId="0" applyNumberFormat="1" applyFont="1" applyBorder="1"/>
    <xf numFmtId="0" fontId="0" fillId="0" borderId="45" xfId="0" applyBorder="1"/>
    <xf numFmtId="0" fontId="0" fillId="0" borderId="40" xfId="0" applyBorder="1"/>
    <xf numFmtId="0" fontId="1" fillId="0" borderId="49" xfId="0" quotePrefix="1" applyFont="1" applyBorder="1"/>
    <xf numFmtId="0" fontId="0" fillId="0" borderId="49" xfId="0" applyBorder="1"/>
    <xf numFmtId="2" fontId="1" fillId="0" borderId="29" xfId="0" applyNumberFormat="1" applyFont="1" applyBorder="1"/>
    <xf numFmtId="0" fontId="1" fillId="0" borderId="30" xfId="0" applyFont="1" applyBorder="1"/>
    <xf numFmtId="2" fontId="21" fillId="0" borderId="3" xfId="0" applyNumberFormat="1" applyFont="1" applyBorder="1"/>
    <xf numFmtId="2" fontId="21" fillId="0" borderId="0" xfId="0" applyNumberFormat="1" applyFont="1" applyBorder="1"/>
    <xf numFmtId="0" fontId="17" fillId="0" borderId="0" xfId="0" applyFont="1" applyBorder="1"/>
    <xf numFmtId="2" fontId="0" fillId="0" borderId="29" xfId="0" applyNumberFormat="1" applyBorder="1"/>
    <xf numFmtId="0" fontId="0" fillId="0" borderId="47" xfId="0" applyBorder="1"/>
    <xf numFmtId="0" fontId="0" fillId="0" borderId="41" xfId="0" applyBorder="1"/>
    <xf numFmtId="2" fontId="7" fillId="0" borderId="3" xfId="0" applyNumberFormat="1" applyFont="1" applyBorder="1"/>
    <xf numFmtId="0" fontId="1" fillId="0" borderId="45" xfId="0" applyFont="1" applyBorder="1" applyAlignment="1">
      <alignment horizontal="center"/>
    </xf>
    <xf numFmtId="0" fontId="1" fillId="0" borderId="49" xfId="0" applyFont="1" applyBorder="1"/>
    <xf numFmtId="167" fontId="1" fillId="0" borderId="29" xfId="0" applyNumberFormat="1" applyFont="1" applyBorder="1"/>
    <xf numFmtId="2" fontId="1" fillId="0" borderId="29" xfId="0" applyNumberFormat="1" applyFont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168" fontId="1" fillId="0" borderId="49" xfId="0" applyNumberFormat="1" applyFont="1" applyBorder="1"/>
    <xf numFmtId="167" fontId="1" fillId="0" borderId="28" xfId="0" applyNumberFormat="1" applyFont="1" applyBorder="1"/>
    <xf numFmtId="2" fontId="1" fillId="0" borderId="28" xfId="0" applyNumberFormat="1" applyFont="1" applyBorder="1" applyAlignment="1">
      <alignment horizontal="right"/>
    </xf>
    <xf numFmtId="168" fontId="1" fillId="0" borderId="28" xfId="0" applyNumberFormat="1" applyFont="1" applyBorder="1"/>
    <xf numFmtId="0" fontId="1" fillId="0" borderId="31" xfId="0" applyFont="1" applyBorder="1"/>
    <xf numFmtId="0" fontId="1" fillId="0" borderId="3" xfId="0" applyFont="1" applyBorder="1"/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8" xfId="0" applyBorder="1"/>
    <xf numFmtId="168" fontId="20" fillId="0" borderId="49" xfId="0" applyNumberFormat="1" applyFont="1" applyBorder="1"/>
    <xf numFmtId="0" fontId="22" fillId="0" borderId="0" xfId="0" applyFont="1"/>
    <xf numFmtId="2" fontId="7" fillId="0" borderId="27" xfId="0" applyNumberFormat="1" applyFont="1" applyBorder="1"/>
    <xf numFmtId="0" fontId="0" fillId="0" borderId="0" xfId="0" applyAlignment="1">
      <alignment horizontal="center"/>
    </xf>
    <xf numFmtId="0" fontId="23" fillId="0" borderId="0" xfId="0" applyFont="1"/>
    <xf numFmtId="0" fontId="23" fillId="0" borderId="37" xfId="0" applyFont="1" applyBorder="1"/>
    <xf numFmtId="0" fontId="0" fillId="0" borderId="20" xfId="0" applyBorder="1"/>
    <xf numFmtId="0" fontId="0" fillId="0" borderId="39" xfId="0" applyBorder="1"/>
    <xf numFmtId="0" fontId="24" fillId="0" borderId="14" xfId="0" applyFont="1" applyBorder="1"/>
    <xf numFmtId="0" fontId="24" fillId="0" borderId="0" xfId="0" applyFont="1" applyBorder="1"/>
    <xf numFmtId="0" fontId="25" fillId="0" borderId="0" xfId="0" applyFont="1" applyBorder="1"/>
    <xf numFmtId="0" fontId="24" fillId="0" borderId="32" xfId="0" applyFont="1" applyBorder="1"/>
    <xf numFmtId="0" fontId="24" fillId="0" borderId="0" xfId="0" applyFont="1"/>
    <xf numFmtId="0" fontId="24" fillId="0" borderId="0" xfId="0" applyFont="1" applyFill="1" applyBorder="1"/>
    <xf numFmtId="2" fontId="24" fillId="0" borderId="0" xfId="0" applyNumberFormat="1" applyFont="1" applyFill="1" applyBorder="1"/>
    <xf numFmtId="166" fontId="24" fillId="0" borderId="32" xfId="0" applyNumberFormat="1" applyFont="1" applyFill="1" applyBorder="1"/>
    <xf numFmtId="9" fontId="24" fillId="0" borderId="0" xfId="0" applyNumberFormat="1" applyFont="1"/>
    <xf numFmtId="0" fontId="24" fillId="0" borderId="38" xfId="0" applyFont="1" applyBorder="1"/>
    <xf numFmtId="0" fontId="24" fillId="0" borderId="8" xfId="0" applyFont="1" applyFill="1" applyBorder="1"/>
    <xf numFmtId="2" fontId="24" fillId="0" borderId="8" xfId="0" applyNumberFormat="1" applyFont="1" applyFill="1" applyBorder="1" applyAlignment="1">
      <alignment horizontal="right"/>
    </xf>
    <xf numFmtId="166" fontId="24" fillId="0" borderId="33" xfId="0" applyNumberFormat="1" applyFont="1" applyFill="1" applyBorder="1"/>
    <xf numFmtId="2" fontId="26" fillId="0" borderId="32" xfId="0" applyNumberFormat="1" applyFont="1" applyBorder="1"/>
    <xf numFmtId="167" fontId="26" fillId="0" borderId="32" xfId="0" applyNumberFormat="1" applyFont="1" applyBorder="1"/>
    <xf numFmtId="0" fontId="24" fillId="0" borderId="50" xfId="0" applyFont="1" applyBorder="1"/>
    <xf numFmtId="167" fontId="26" fillId="0" borderId="50" xfId="0" applyNumberFormat="1" applyFont="1" applyBorder="1" applyAlignment="1">
      <alignment horizontal="right"/>
    </xf>
    <xf numFmtId="0" fontId="24" fillId="0" borderId="20" xfId="0" applyFont="1" applyBorder="1"/>
    <xf numFmtId="0" fontId="24" fillId="0" borderId="39" xfId="0" applyFont="1" applyBorder="1"/>
    <xf numFmtId="0" fontId="24" fillId="0" borderId="8" xfId="0" applyFont="1" applyBorder="1"/>
    <xf numFmtId="4" fontId="14" fillId="0" borderId="33" xfId="0" applyNumberFormat="1" applyFont="1" applyBorder="1"/>
    <xf numFmtId="2" fontId="26" fillId="0" borderId="32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flow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Discounted Cash Flow</c:v>
          </c:tx>
          <c:invertIfNegative val="0"/>
          <c:val>
            <c:numRef>
              <c:f>'Cash Flow'!$E$19:$S$19</c:f>
              <c:numCache>
                <c:formatCode>#,##0</c:formatCode>
                <c:ptCount val="15"/>
                <c:pt idx="0">
                  <c:v>25547445.255474452</c:v>
                </c:pt>
                <c:pt idx="1">
                  <c:v>18647770.259470403</c:v>
                </c:pt>
                <c:pt idx="2">
                  <c:v>13611511.138299562</c:v>
                </c:pt>
                <c:pt idx="3">
                  <c:v>9935409.5899996795</c:v>
                </c:pt>
                <c:pt idx="4">
                  <c:v>7252123.7883209325</c:v>
                </c:pt>
                <c:pt idx="5">
                  <c:v>5293521.0133729437</c:v>
                </c:pt>
                <c:pt idx="6">
                  <c:v>3863883.9513671123</c:v>
                </c:pt>
                <c:pt idx="7">
                  <c:v>2820353.2491730745</c:v>
                </c:pt>
                <c:pt idx="8">
                  <c:v>2058652.0066956745</c:v>
                </c:pt>
                <c:pt idx="9">
                  <c:v>1502665.6983180107</c:v>
                </c:pt>
                <c:pt idx="10">
                  <c:v>1096836.2761445332</c:v>
                </c:pt>
                <c:pt idx="11">
                  <c:v>800610.4205434547</c:v>
                </c:pt>
                <c:pt idx="12">
                  <c:v>584387.16827989393</c:v>
                </c:pt>
                <c:pt idx="13">
                  <c:v>426559.97684663796</c:v>
                </c:pt>
                <c:pt idx="14">
                  <c:v>311357.64733331231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C-4056-8B6F-26082F56C3BF}"/>
            </c:ext>
          </c:extLst>
        </c:ser>
        <c:ser>
          <c:idx val="0"/>
          <c:order val="1"/>
          <c:tx>
            <c:v>Cash Flow after repayment of Capex</c:v>
          </c:tx>
          <c:invertIfNegative val="0"/>
          <c:val>
            <c:numRef>
              <c:f>'Cash Flow'!$E$16:$S$16</c:f>
              <c:numCache>
                <c:formatCode>#,##0</c:formatCode>
                <c:ptCount val="15"/>
                <c:pt idx="0">
                  <c:v>-55000000</c:v>
                </c:pt>
                <c:pt idx="1">
                  <c:v>-20000000</c:v>
                </c:pt>
                <c:pt idx="2">
                  <c:v>15000000</c:v>
                </c:pt>
                <c:pt idx="3">
                  <c:v>35000000</c:v>
                </c:pt>
                <c:pt idx="4">
                  <c:v>35000000</c:v>
                </c:pt>
                <c:pt idx="5">
                  <c:v>35000000</c:v>
                </c:pt>
                <c:pt idx="6">
                  <c:v>35000000</c:v>
                </c:pt>
                <c:pt idx="7">
                  <c:v>35000000</c:v>
                </c:pt>
                <c:pt idx="8">
                  <c:v>35000000</c:v>
                </c:pt>
                <c:pt idx="9">
                  <c:v>35000000</c:v>
                </c:pt>
                <c:pt idx="10">
                  <c:v>35000000</c:v>
                </c:pt>
                <c:pt idx="11">
                  <c:v>35000000</c:v>
                </c:pt>
                <c:pt idx="12">
                  <c:v>35000000</c:v>
                </c:pt>
                <c:pt idx="13">
                  <c:v>35000000</c:v>
                </c:pt>
                <c:pt idx="14">
                  <c:v>35000000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C-4056-8B6F-26082F56C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83152"/>
        <c:axId val="1"/>
      </c:barChart>
      <c:catAx>
        <c:axId val="32878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1047522000926356"/>
              <c:y val="0.94347141389934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USD</a:t>
                </a:r>
              </a:p>
            </c:rich>
          </c:tx>
          <c:layout>
            <c:manualLayout>
              <c:xMode val="edge"/>
              <c:yMode val="edge"/>
              <c:x val="0.14789121947991796"/>
              <c:y val="7.0989387196165696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28783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52054522596449"/>
          <c:y val="0.1770841304683462"/>
          <c:w val="0.31506843997441503"/>
          <c:h val="0.4166682105913231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161925</xdr:rowOff>
    </xdr:from>
    <xdr:to>
      <xdr:col>5</xdr:col>
      <xdr:colOff>247650</xdr:colOff>
      <xdr:row>44</xdr:row>
      <xdr:rowOff>133350</xdr:rowOff>
    </xdr:to>
    <xdr:graphicFrame macro="">
      <xdr:nvGraphicFramePr>
        <xdr:cNvPr id="109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114300</xdr:rowOff>
    </xdr:from>
    <xdr:to>
      <xdr:col>1</xdr:col>
      <xdr:colOff>1733550</xdr:colOff>
      <xdr:row>0</xdr:row>
      <xdr:rowOff>657225</xdr:rowOff>
    </xdr:to>
    <xdr:pic>
      <xdr:nvPicPr>
        <xdr:cNvPr id="1100" name="Picture 11" descr="Verlauf BGR+Schrift_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726" b="-9541"/>
        <a:stretch>
          <a:fillRect/>
        </a:stretch>
      </xdr:blipFill>
      <xdr:spPr bwMode="auto">
        <a:xfrm>
          <a:off x="85725" y="114300"/>
          <a:ext cx="1971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142875</xdr:rowOff>
    </xdr:from>
    <xdr:to>
      <xdr:col>1</xdr:col>
      <xdr:colOff>704850</xdr:colOff>
      <xdr:row>0</xdr:row>
      <xdr:rowOff>581025</xdr:rowOff>
    </xdr:to>
    <xdr:pic>
      <xdr:nvPicPr>
        <xdr:cNvPr id="2" name="Picture 11" descr="Verlauf BGR+Schrift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39"/>
        <a:stretch>
          <a:fillRect/>
        </a:stretch>
      </xdr:blipFill>
      <xdr:spPr bwMode="auto">
        <a:xfrm>
          <a:off x="276225" y="142875"/>
          <a:ext cx="1695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171450</xdr:rowOff>
    </xdr:from>
    <xdr:to>
      <xdr:col>2</xdr:col>
      <xdr:colOff>457200</xdr:colOff>
      <xdr:row>0</xdr:row>
      <xdr:rowOff>609600</xdr:rowOff>
    </xdr:to>
    <xdr:pic>
      <xdr:nvPicPr>
        <xdr:cNvPr id="2" name="Picture 11" descr="Verlauf BGR+Schrift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39"/>
        <a:stretch>
          <a:fillRect/>
        </a:stretch>
      </xdr:blipFill>
      <xdr:spPr bwMode="auto">
        <a:xfrm>
          <a:off x="285750" y="171450"/>
          <a:ext cx="1695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200025</xdr:rowOff>
    </xdr:from>
    <xdr:to>
      <xdr:col>2</xdr:col>
      <xdr:colOff>400050</xdr:colOff>
      <xdr:row>0</xdr:row>
      <xdr:rowOff>638175</xdr:rowOff>
    </xdr:to>
    <xdr:pic>
      <xdr:nvPicPr>
        <xdr:cNvPr id="2" name="Picture 11" descr="Verlauf BGR+Schrift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39"/>
        <a:stretch>
          <a:fillRect/>
        </a:stretch>
      </xdr:blipFill>
      <xdr:spPr bwMode="auto">
        <a:xfrm>
          <a:off x="228600" y="200025"/>
          <a:ext cx="1695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295275</xdr:rowOff>
    </xdr:from>
    <xdr:to>
      <xdr:col>2</xdr:col>
      <xdr:colOff>609600</xdr:colOff>
      <xdr:row>0</xdr:row>
      <xdr:rowOff>733425</xdr:rowOff>
    </xdr:to>
    <xdr:pic>
      <xdr:nvPicPr>
        <xdr:cNvPr id="2" name="Picture 11" descr="Verlauf BGR+Schrift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39"/>
        <a:stretch>
          <a:fillRect/>
        </a:stretch>
      </xdr:blipFill>
      <xdr:spPr bwMode="auto">
        <a:xfrm>
          <a:off x="200025" y="295275"/>
          <a:ext cx="1695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104775</xdr:rowOff>
    </xdr:from>
    <xdr:to>
      <xdr:col>1</xdr:col>
      <xdr:colOff>628650</xdr:colOff>
      <xdr:row>0</xdr:row>
      <xdr:rowOff>542925</xdr:rowOff>
    </xdr:to>
    <xdr:pic>
      <xdr:nvPicPr>
        <xdr:cNvPr id="2" name="Picture 11" descr="Verlauf BGR+Schrift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39"/>
        <a:stretch>
          <a:fillRect/>
        </a:stretch>
      </xdr:blipFill>
      <xdr:spPr bwMode="auto">
        <a:xfrm>
          <a:off x="209550" y="104775"/>
          <a:ext cx="1695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topLeftCell="A19" workbookViewId="0">
      <selection activeCell="H39" sqref="H39"/>
    </sheetView>
  </sheetViews>
  <sheetFormatPr baseColWidth="10" defaultRowHeight="12.75" x14ac:dyDescent="0.2"/>
  <cols>
    <col min="1" max="1" width="4.85546875" style="1" customWidth="1"/>
    <col min="2" max="2" width="31.85546875" style="1" bestFit="1" customWidth="1"/>
    <col min="3" max="3" width="25.5703125" style="1" bestFit="1" customWidth="1"/>
    <col min="4" max="4" width="11.140625" style="1" customWidth="1"/>
    <col min="5" max="5" width="12.7109375" style="1" bestFit="1" customWidth="1"/>
    <col min="6" max="9" width="11.7109375" style="1" bestFit="1" customWidth="1"/>
    <col min="10" max="10" width="13.7109375" style="1" customWidth="1"/>
    <col min="11" max="11" width="17.140625" style="1" customWidth="1"/>
    <col min="12" max="12" width="21.42578125" style="1" customWidth="1"/>
    <col min="13" max="18" width="11.140625" style="1" bestFit="1" customWidth="1"/>
    <col min="19" max="19" width="11.7109375" style="1" bestFit="1" customWidth="1"/>
    <col min="20" max="20" width="9.140625" style="1" bestFit="1" customWidth="1"/>
    <col min="21" max="21" width="29.28515625" style="1" customWidth="1"/>
    <col min="22" max="22" width="9.140625" style="1" bestFit="1" customWidth="1"/>
    <col min="23" max="23" width="12.7109375" style="1" bestFit="1" customWidth="1"/>
    <col min="24" max="16384" width="11.42578125" style="1"/>
  </cols>
  <sheetData>
    <row r="1" spans="1:24" ht="54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4" ht="15.75" x14ac:dyDescent="0.25">
      <c r="A2" s="40" t="s">
        <v>136</v>
      </c>
      <c r="B2" s="39"/>
      <c r="C2" s="40"/>
      <c r="D2" s="39"/>
      <c r="E2" s="39"/>
      <c r="F2" s="39"/>
      <c r="G2" s="39"/>
      <c r="H2" s="39"/>
      <c r="I2" s="39"/>
      <c r="J2" s="39"/>
      <c r="K2" s="39"/>
      <c r="L2" s="39"/>
    </row>
    <row r="4" spans="1:24" ht="13.5" thickBot="1" x14ac:dyDescent="0.25"/>
    <row r="5" spans="1:24" ht="13.5" thickTop="1" x14ac:dyDescent="0.2">
      <c r="A5" s="3" t="s">
        <v>9</v>
      </c>
      <c r="B5" s="4" t="s">
        <v>8</v>
      </c>
      <c r="C5" s="4" t="s">
        <v>11</v>
      </c>
      <c r="D5" s="4">
        <v>0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U5" s="32" t="s">
        <v>5</v>
      </c>
      <c r="V5" s="9"/>
      <c r="W5" s="10"/>
      <c r="X5" s="11"/>
    </row>
    <row r="6" spans="1:24" s="2" customFormat="1" ht="38.25" x14ac:dyDescent="0.2">
      <c r="A6" s="35">
        <v>1</v>
      </c>
      <c r="B6" s="34" t="s">
        <v>10</v>
      </c>
      <c r="C6" s="5" t="s">
        <v>28</v>
      </c>
      <c r="D6" s="6">
        <f>W7</f>
        <v>90000000</v>
      </c>
      <c r="E6" s="6">
        <f>D6</f>
        <v>90000000</v>
      </c>
      <c r="F6" s="6">
        <f>IF(E15-E6&gt;0,0,-1*(E15-E6))</f>
        <v>55000000</v>
      </c>
      <c r="G6" s="6">
        <f t="shared" ref="G6:M6" si="0">IF(F15-F6&gt;0,0,-1*(F15-F6))</f>
        <v>20000000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ref="N6:S6" si="1">IF(M15-M6&gt;0,0,-1*(M15-M6))</f>
        <v>0</v>
      </c>
      <c r="O6" s="6">
        <f t="shared" si="1"/>
        <v>0</v>
      </c>
      <c r="P6" s="6">
        <f t="shared" si="1"/>
        <v>0</v>
      </c>
      <c r="Q6" s="6">
        <f t="shared" si="1"/>
        <v>0</v>
      </c>
      <c r="R6" s="6">
        <f t="shared" si="1"/>
        <v>0</v>
      </c>
      <c r="S6" s="6">
        <f t="shared" si="1"/>
        <v>0</v>
      </c>
      <c r="U6" s="12"/>
      <c r="V6" s="13"/>
      <c r="W6" s="14"/>
      <c r="X6" s="15"/>
    </row>
    <row r="7" spans="1:24" ht="38.25" x14ac:dyDescent="0.2">
      <c r="A7" s="36">
        <v>2</v>
      </c>
      <c r="B7" s="33" t="s">
        <v>14</v>
      </c>
      <c r="C7" s="5" t="s">
        <v>31</v>
      </c>
      <c r="D7" s="7"/>
      <c r="E7" s="7">
        <f>$W$11*$W$13</f>
        <v>70000000</v>
      </c>
      <c r="F7" s="7">
        <f t="shared" ref="F7:S7" si="2">$W$11*$W$13</f>
        <v>70000000</v>
      </c>
      <c r="G7" s="7">
        <f t="shared" si="2"/>
        <v>70000000</v>
      </c>
      <c r="H7" s="7">
        <f t="shared" si="2"/>
        <v>70000000</v>
      </c>
      <c r="I7" s="7">
        <f t="shared" si="2"/>
        <v>70000000</v>
      </c>
      <c r="J7" s="7">
        <f t="shared" si="2"/>
        <v>70000000</v>
      </c>
      <c r="K7" s="7">
        <f t="shared" si="2"/>
        <v>70000000</v>
      </c>
      <c r="L7" s="7">
        <f t="shared" si="2"/>
        <v>70000000</v>
      </c>
      <c r="M7" s="7">
        <f t="shared" si="2"/>
        <v>70000000</v>
      </c>
      <c r="N7" s="7">
        <f t="shared" si="2"/>
        <v>70000000</v>
      </c>
      <c r="O7" s="7">
        <f t="shared" si="2"/>
        <v>70000000</v>
      </c>
      <c r="P7" s="7">
        <f t="shared" si="2"/>
        <v>70000000</v>
      </c>
      <c r="Q7" s="7">
        <f t="shared" si="2"/>
        <v>70000000</v>
      </c>
      <c r="R7" s="7">
        <f t="shared" si="2"/>
        <v>70000000</v>
      </c>
      <c r="S7" s="7">
        <f t="shared" si="2"/>
        <v>70000000</v>
      </c>
      <c r="U7" s="30" t="s">
        <v>140</v>
      </c>
      <c r="V7" s="13"/>
      <c r="W7" s="57">
        <v>90000000</v>
      </c>
      <c r="X7" s="15" t="s">
        <v>139</v>
      </c>
    </row>
    <row r="8" spans="1:24" ht="38.25" x14ac:dyDescent="0.2">
      <c r="A8" s="36">
        <v>3</v>
      </c>
      <c r="B8" s="33" t="s">
        <v>12</v>
      </c>
      <c r="C8" s="5" t="s">
        <v>32</v>
      </c>
      <c r="D8" s="7"/>
      <c r="E8" s="7">
        <f>($W$16+$W$17)*$W$11</f>
        <v>35000000</v>
      </c>
      <c r="F8" s="7">
        <f t="shared" ref="F8:S8" si="3">($W$16+$W$17)*$W$11</f>
        <v>35000000</v>
      </c>
      <c r="G8" s="7">
        <f t="shared" si="3"/>
        <v>35000000</v>
      </c>
      <c r="H8" s="7">
        <f t="shared" si="3"/>
        <v>35000000</v>
      </c>
      <c r="I8" s="7">
        <f t="shared" si="3"/>
        <v>35000000</v>
      </c>
      <c r="J8" s="7">
        <f t="shared" si="3"/>
        <v>35000000</v>
      </c>
      <c r="K8" s="7">
        <f t="shared" si="3"/>
        <v>35000000</v>
      </c>
      <c r="L8" s="7">
        <f t="shared" si="3"/>
        <v>35000000</v>
      </c>
      <c r="M8" s="7">
        <f t="shared" si="3"/>
        <v>35000000</v>
      </c>
      <c r="N8" s="7">
        <f t="shared" si="3"/>
        <v>35000000</v>
      </c>
      <c r="O8" s="7">
        <f t="shared" si="3"/>
        <v>35000000</v>
      </c>
      <c r="P8" s="7">
        <f t="shared" si="3"/>
        <v>35000000</v>
      </c>
      <c r="Q8" s="7">
        <f t="shared" si="3"/>
        <v>35000000</v>
      </c>
      <c r="R8" s="7">
        <f t="shared" si="3"/>
        <v>35000000</v>
      </c>
      <c r="S8" s="7">
        <f t="shared" si="3"/>
        <v>35000000</v>
      </c>
      <c r="U8" s="30"/>
      <c r="V8" s="13"/>
      <c r="W8" s="14"/>
      <c r="X8" s="15"/>
    </row>
    <row r="9" spans="1:24" ht="25.5" x14ac:dyDescent="0.2">
      <c r="A9" s="36">
        <v>4</v>
      </c>
      <c r="B9" s="8" t="s">
        <v>13</v>
      </c>
      <c r="C9" s="33" t="s">
        <v>16</v>
      </c>
      <c r="D9" s="7"/>
      <c r="E9" s="7">
        <f>E7-E8</f>
        <v>35000000</v>
      </c>
      <c r="F9" s="7">
        <f t="shared" ref="F9:L9" si="4">F7-F8</f>
        <v>35000000</v>
      </c>
      <c r="G9" s="7">
        <f t="shared" si="4"/>
        <v>35000000</v>
      </c>
      <c r="H9" s="7">
        <f t="shared" si="4"/>
        <v>35000000</v>
      </c>
      <c r="I9" s="7">
        <f t="shared" si="4"/>
        <v>35000000</v>
      </c>
      <c r="J9" s="7">
        <f t="shared" si="4"/>
        <v>35000000</v>
      </c>
      <c r="K9" s="7">
        <f t="shared" si="4"/>
        <v>35000000</v>
      </c>
      <c r="L9" s="7">
        <f t="shared" si="4"/>
        <v>35000000</v>
      </c>
      <c r="M9" s="7">
        <f t="shared" ref="M9:S9" si="5">M7-M8</f>
        <v>35000000</v>
      </c>
      <c r="N9" s="7">
        <f t="shared" si="5"/>
        <v>35000000</v>
      </c>
      <c r="O9" s="7">
        <f t="shared" si="5"/>
        <v>35000000</v>
      </c>
      <c r="P9" s="7">
        <f t="shared" si="5"/>
        <v>35000000</v>
      </c>
      <c r="Q9" s="7">
        <f t="shared" si="5"/>
        <v>35000000</v>
      </c>
      <c r="R9" s="7">
        <f t="shared" si="5"/>
        <v>35000000</v>
      </c>
      <c r="S9" s="7">
        <f t="shared" si="5"/>
        <v>35000000</v>
      </c>
      <c r="U9" s="30" t="s">
        <v>141</v>
      </c>
      <c r="V9" s="13"/>
      <c r="W9" s="14">
        <v>0</v>
      </c>
      <c r="X9" s="15" t="s">
        <v>139</v>
      </c>
    </row>
    <row r="10" spans="1:24" ht="25.5" x14ac:dyDescent="0.2">
      <c r="A10" s="36">
        <v>5</v>
      </c>
      <c r="B10" s="5" t="s">
        <v>25</v>
      </c>
      <c r="C10" s="34" t="s">
        <v>23</v>
      </c>
      <c r="D10" s="7"/>
      <c r="E10" s="7">
        <f>E6*$W$20/100</f>
        <v>0</v>
      </c>
      <c r="F10" s="7">
        <f t="shared" ref="F10:S10" si="6">F6*$W$20/100</f>
        <v>0</v>
      </c>
      <c r="G10" s="7">
        <f t="shared" si="6"/>
        <v>0</v>
      </c>
      <c r="H10" s="7">
        <f t="shared" si="6"/>
        <v>0</v>
      </c>
      <c r="I10" s="7">
        <f t="shared" si="6"/>
        <v>0</v>
      </c>
      <c r="J10" s="7">
        <f t="shared" si="6"/>
        <v>0</v>
      </c>
      <c r="K10" s="7">
        <f t="shared" si="6"/>
        <v>0</v>
      </c>
      <c r="L10" s="7">
        <f t="shared" si="6"/>
        <v>0</v>
      </c>
      <c r="M10" s="7">
        <f t="shared" si="6"/>
        <v>0</v>
      </c>
      <c r="N10" s="7">
        <f t="shared" si="6"/>
        <v>0</v>
      </c>
      <c r="O10" s="7">
        <f t="shared" si="6"/>
        <v>0</v>
      </c>
      <c r="P10" s="7">
        <f t="shared" si="6"/>
        <v>0</v>
      </c>
      <c r="Q10" s="7">
        <f t="shared" si="6"/>
        <v>0</v>
      </c>
      <c r="R10" s="7">
        <f t="shared" si="6"/>
        <v>0</v>
      </c>
      <c r="S10" s="7">
        <f t="shared" si="6"/>
        <v>0</v>
      </c>
      <c r="U10" s="12"/>
      <c r="V10" s="13"/>
      <c r="W10" s="14"/>
      <c r="X10" s="15"/>
    </row>
    <row r="11" spans="1:24" ht="25.5" x14ac:dyDescent="0.2">
      <c r="A11" s="36">
        <v>6</v>
      </c>
      <c r="B11" s="33" t="s">
        <v>15</v>
      </c>
      <c r="C11" s="5" t="s">
        <v>30</v>
      </c>
      <c r="D11" s="7"/>
      <c r="E11" s="7">
        <f>IF(E5&lt;11,$D$6/10,0)</f>
        <v>9000000</v>
      </c>
      <c r="F11" s="7">
        <f t="shared" ref="F11:S11" si="7">IF(F5&lt;11,$D$6/10,0)</f>
        <v>9000000</v>
      </c>
      <c r="G11" s="7">
        <f t="shared" si="7"/>
        <v>9000000</v>
      </c>
      <c r="H11" s="7">
        <f t="shared" si="7"/>
        <v>9000000</v>
      </c>
      <c r="I11" s="7">
        <f t="shared" si="7"/>
        <v>9000000</v>
      </c>
      <c r="J11" s="7">
        <f t="shared" si="7"/>
        <v>9000000</v>
      </c>
      <c r="K11" s="7">
        <f t="shared" si="7"/>
        <v>9000000</v>
      </c>
      <c r="L11" s="7">
        <f t="shared" si="7"/>
        <v>9000000</v>
      </c>
      <c r="M11" s="7">
        <f t="shared" si="7"/>
        <v>9000000</v>
      </c>
      <c r="N11" s="7">
        <f t="shared" si="7"/>
        <v>9000000</v>
      </c>
      <c r="O11" s="7">
        <f t="shared" si="7"/>
        <v>0</v>
      </c>
      <c r="P11" s="7">
        <f t="shared" si="7"/>
        <v>0</v>
      </c>
      <c r="Q11" s="7">
        <f t="shared" si="7"/>
        <v>0</v>
      </c>
      <c r="R11" s="7">
        <f t="shared" si="7"/>
        <v>0</v>
      </c>
      <c r="S11" s="7">
        <f t="shared" si="7"/>
        <v>0</v>
      </c>
      <c r="U11" s="30" t="s">
        <v>21</v>
      </c>
      <c r="V11" s="13"/>
      <c r="W11" s="57">
        <v>700000</v>
      </c>
      <c r="X11" s="15" t="s">
        <v>1</v>
      </c>
    </row>
    <row r="12" spans="1:24" ht="38.25" x14ac:dyDescent="0.2">
      <c r="A12" s="36">
        <v>7</v>
      </c>
      <c r="B12" s="8" t="s">
        <v>146</v>
      </c>
      <c r="C12" s="53" t="s">
        <v>17</v>
      </c>
      <c r="D12" s="7"/>
      <c r="E12" s="7">
        <f>E9-E10-E11</f>
        <v>26000000</v>
      </c>
      <c r="F12" s="7">
        <f t="shared" ref="F12:L12" si="8">F9-F10-F11</f>
        <v>26000000</v>
      </c>
      <c r="G12" s="7">
        <f t="shared" si="8"/>
        <v>26000000</v>
      </c>
      <c r="H12" s="7">
        <f t="shared" si="8"/>
        <v>26000000</v>
      </c>
      <c r="I12" s="7">
        <f t="shared" si="8"/>
        <v>26000000</v>
      </c>
      <c r="J12" s="7">
        <f t="shared" si="8"/>
        <v>26000000</v>
      </c>
      <c r="K12" s="7">
        <f t="shared" si="8"/>
        <v>26000000</v>
      </c>
      <c r="L12" s="7">
        <f t="shared" si="8"/>
        <v>26000000</v>
      </c>
      <c r="M12" s="7">
        <f t="shared" ref="M12:S12" si="9">M9-M10-M11</f>
        <v>26000000</v>
      </c>
      <c r="N12" s="7">
        <f t="shared" si="9"/>
        <v>26000000</v>
      </c>
      <c r="O12" s="7">
        <f t="shared" si="9"/>
        <v>35000000</v>
      </c>
      <c r="P12" s="7">
        <f t="shared" si="9"/>
        <v>35000000</v>
      </c>
      <c r="Q12" s="7">
        <f t="shared" si="9"/>
        <v>35000000</v>
      </c>
      <c r="R12" s="7">
        <f t="shared" si="9"/>
        <v>35000000</v>
      </c>
      <c r="S12" s="7">
        <f t="shared" si="9"/>
        <v>35000000</v>
      </c>
      <c r="U12" s="30"/>
      <c r="V12" s="13"/>
      <c r="W12" s="14"/>
      <c r="X12" s="15"/>
    </row>
    <row r="13" spans="1:24" ht="38.25" x14ac:dyDescent="0.2">
      <c r="A13" s="36">
        <v>8</v>
      </c>
      <c r="B13" s="34" t="s">
        <v>147</v>
      </c>
      <c r="C13" s="34" t="s">
        <v>22</v>
      </c>
      <c r="D13" s="7"/>
      <c r="E13" s="7">
        <f>E12*($W$24/100)</f>
        <v>0</v>
      </c>
      <c r="F13" s="7">
        <f t="shared" ref="F13:S13" si="10">F12*($W$24/100)</f>
        <v>0</v>
      </c>
      <c r="G13" s="7">
        <f t="shared" si="10"/>
        <v>0</v>
      </c>
      <c r="H13" s="7">
        <f t="shared" si="10"/>
        <v>0</v>
      </c>
      <c r="I13" s="7">
        <f t="shared" si="10"/>
        <v>0</v>
      </c>
      <c r="J13" s="7">
        <f t="shared" si="10"/>
        <v>0</v>
      </c>
      <c r="K13" s="7">
        <f t="shared" si="10"/>
        <v>0</v>
      </c>
      <c r="L13" s="7">
        <f t="shared" si="10"/>
        <v>0</v>
      </c>
      <c r="M13" s="7">
        <f t="shared" si="10"/>
        <v>0</v>
      </c>
      <c r="N13" s="7">
        <f t="shared" si="10"/>
        <v>0</v>
      </c>
      <c r="O13" s="7">
        <f t="shared" si="10"/>
        <v>0</v>
      </c>
      <c r="P13" s="7">
        <f t="shared" si="10"/>
        <v>0</v>
      </c>
      <c r="Q13" s="7">
        <f t="shared" si="10"/>
        <v>0</v>
      </c>
      <c r="R13" s="7">
        <f t="shared" si="10"/>
        <v>0</v>
      </c>
      <c r="S13" s="7">
        <f t="shared" si="10"/>
        <v>0</v>
      </c>
      <c r="U13" s="30" t="s">
        <v>34</v>
      </c>
      <c r="V13" s="13"/>
      <c r="W13" s="14">
        <v>100</v>
      </c>
      <c r="X13" s="15" t="s">
        <v>139</v>
      </c>
    </row>
    <row r="14" spans="1:24" ht="25.5" x14ac:dyDescent="0.2">
      <c r="A14" s="36">
        <v>9</v>
      </c>
      <c r="B14" s="5" t="s">
        <v>26</v>
      </c>
      <c r="C14" s="34" t="s">
        <v>24</v>
      </c>
      <c r="D14" s="7"/>
      <c r="E14" s="7">
        <f>E7*$W$22/100</f>
        <v>0</v>
      </c>
      <c r="F14" s="7">
        <f t="shared" ref="F14:S14" si="11">F7*$W$22/100</f>
        <v>0</v>
      </c>
      <c r="G14" s="7">
        <f t="shared" si="11"/>
        <v>0</v>
      </c>
      <c r="H14" s="7">
        <f t="shared" si="11"/>
        <v>0</v>
      </c>
      <c r="I14" s="7">
        <f t="shared" si="11"/>
        <v>0</v>
      </c>
      <c r="J14" s="7">
        <f t="shared" si="11"/>
        <v>0</v>
      </c>
      <c r="K14" s="7">
        <f t="shared" si="11"/>
        <v>0</v>
      </c>
      <c r="L14" s="7">
        <f t="shared" si="11"/>
        <v>0</v>
      </c>
      <c r="M14" s="7">
        <f t="shared" si="11"/>
        <v>0</v>
      </c>
      <c r="N14" s="7">
        <f t="shared" si="11"/>
        <v>0</v>
      </c>
      <c r="O14" s="7">
        <f t="shared" si="11"/>
        <v>0</v>
      </c>
      <c r="P14" s="7">
        <f t="shared" si="11"/>
        <v>0</v>
      </c>
      <c r="Q14" s="7">
        <f t="shared" si="11"/>
        <v>0</v>
      </c>
      <c r="R14" s="7">
        <f t="shared" si="11"/>
        <v>0</v>
      </c>
      <c r="S14" s="7">
        <f t="shared" si="11"/>
        <v>0</v>
      </c>
      <c r="U14" s="12"/>
      <c r="V14" s="13"/>
      <c r="W14" s="14"/>
      <c r="X14" s="15"/>
    </row>
    <row r="15" spans="1:24" ht="25.5" x14ac:dyDescent="0.2">
      <c r="A15" s="36">
        <v>10</v>
      </c>
      <c r="B15" s="5" t="s">
        <v>148</v>
      </c>
      <c r="C15" s="34" t="s">
        <v>33</v>
      </c>
      <c r="D15" s="7">
        <f>-D6</f>
        <v>-90000000</v>
      </c>
      <c r="E15" s="7">
        <f>E9-E10-E13-E14</f>
        <v>35000000</v>
      </c>
      <c r="F15" s="7">
        <f>F9-F10-F13-F14</f>
        <v>35000000</v>
      </c>
      <c r="G15" s="7">
        <f t="shared" ref="G15:L15" si="12">G9-G10-G13-G14</f>
        <v>35000000</v>
      </c>
      <c r="H15" s="7">
        <f t="shared" si="12"/>
        <v>35000000</v>
      </c>
      <c r="I15" s="7">
        <f t="shared" si="12"/>
        <v>35000000</v>
      </c>
      <c r="J15" s="7">
        <f t="shared" si="12"/>
        <v>35000000</v>
      </c>
      <c r="K15" s="7">
        <f t="shared" si="12"/>
        <v>35000000</v>
      </c>
      <c r="L15" s="7">
        <f t="shared" si="12"/>
        <v>35000000</v>
      </c>
      <c r="M15" s="7">
        <f t="shared" ref="M15:R15" si="13">M9-M10-M13-M14</f>
        <v>35000000</v>
      </c>
      <c r="N15" s="7">
        <f t="shared" si="13"/>
        <v>35000000</v>
      </c>
      <c r="O15" s="7">
        <f t="shared" si="13"/>
        <v>35000000</v>
      </c>
      <c r="P15" s="7">
        <f t="shared" si="13"/>
        <v>35000000</v>
      </c>
      <c r="Q15" s="7">
        <f t="shared" si="13"/>
        <v>35000000</v>
      </c>
      <c r="R15" s="7">
        <f t="shared" si="13"/>
        <v>35000000</v>
      </c>
      <c r="S15" s="7">
        <f>S9-S10-S13-S14-S6</f>
        <v>35000000</v>
      </c>
      <c r="U15" s="30" t="s">
        <v>142</v>
      </c>
      <c r="V15" s="13"/>
      <c r="W15" s="14"/>
      <c r="X15" s="15"/>
    </row>
    <row r="16" spans="1:24" s="22" customFormat="1" ht="39" thickBot="1" x14ac:dyDescent="0.25">
      <c r="A16" s="51">
        <v>11</v>
      </c>
      <c r="B16" s="55" t="s">
        <v>27</v>
      </c>
      <c r="C16" s="52"/>
      <c r="D16" s="52"/>
      <c r="E16" s="52">
        <f>E15-E6</f>
        <v>-55000000</v>
      </c>
      <c r="F16" s="52">
        <f>IF(E16&lt;0,E16+F15,E7-E8-E13-E14)</f>
        <v>-20000000</v>
      </c>
      <c r="G16" s="52">
        <f>IF(F16&lt;0,F16+G15,F7-F8-F13-F14)</f>
        <v>15000000</v>
      </c>
      <c r="H16" s="52">
        <f>IF(G16&lt;0,G16+H15,G7-G8-G13-G14)</f>
        <v>35000000</v>
      </c>
      <c r="I16" s="52">
        <f t="shared" ref="I16:N16" si="14">IF(H16&lt;0,H16+I15,H7-H8-H13-H14)</f>
        <v>35000000</v>
      </c>
      <c r="J16" s="52">
        <f t="shared" si="14"/>
        <v>35000000</v>
      </c>
      <c r="K16" s="52">
        <f t="shared" si="14"/>
        <v>35000000</v>
      </c>
      <c r="L16" s="52">
        <f t="shared" si="14"/>
        <v>35000000</v>
      </c>
      <c r="M16" s="52">
        <f t="shared" si="14"/>
        <v>35000000</v>
      </c>
      <c r="N16" s="52">
        <f t="shared" si="14"/>
        <v>35000000</v>
      </c>
      <c r="O16" s="52">
        <f>IF(N16&lt;0,N16+O15,N7-N8-N13-N14)</f>
        <v>35000000</v>
      </c>
      <c r="P16" s="52">
        <f>IF(O16&lt;0,O16+P15,O7-O8-O13-O14)</f>
        <v>35000000</v>
      </c>
      <c r="Q16" s="52">
        <f>IF(P16&lt;0,P16+Q15,P7-P8-P13-P14)</f>
        <v>35000000</v>
      </c>
      <c r="R16" s="52">
        <f>IF(Q16&lt;0,Q16+R15,Q7-Q8-Q13-Q14)</f>
        <v>35000000</v>
      </c>
      <c r="S16" s="52">
        <f>IF(R16&lt;0,R16+S15,R7-R8-R13-R14-S6)</f>
        <v>35000000</v>
      </c>
      <c r="U16" s="45" t="s">
        <v>137</v>
      </c>
      <c r="V16" s="13"/>
      <c r="W16" s="43">
        <v>30</v>
      </c>
      <c r="X16" s="16" t="s">
        <v>139</v>
      </c>
    </row>
    <row r="17" spans="1:24" ht="14.25" thickTop="1" thickBot="1" x14ac:dyDescent="0.25">
      <c r="A17" s="3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42" t="s">
        <v>138</v>
      </c>
      <c r="V17" s="17"/>
      <c r="W17" s="43">
        <v>20</v>
      </c>
      <c r="X17" s="18" t="s">
        <v>139</v>
      </c>
    </row>
    <row r="18" spans="1:24" ht="26.45" customHeight="1" x14ac:dyDescent="0.2">
      <c r="A18" s="36">
        <v>12</v>
      </c>
      <c r="B18" s="8" t="s">
        <v>145</v>
      </c>
      <c r="C18" s="33" t="s">
        <v>3</v>
      </c>
      <c r="D18" s="7"/>
      <c r="E18" s="24">
        <f>1/((1+($W$26/100))^E5)</f>
        <v>0.72992700729927007</v>
      </c>
      <c r="F18" s="24">
        <f t="shared" ref="F18:S18" si="15">1/((1+($W$26/100))^F5)</f>
        <v>0.53279343598486861</v>
      </c>
      <c r="G18" s="24">
        <f t="shared" si="15"/>
        <v>0.38890031823713034</v>
      </c>
      <c r="H18" s="24">
        <f t="shared" si="15"/>
        <v>0.28386884542856228</v>
      </c>
      <c r="I18" s="24">
        <f t="shared" si="15"/>
        <v>0.2072035368091695</v>
      </c>
      <c r="J18" s="24">
        <f t="shared" si="15"/>
        <v>0.15124345752494125</v>
      </c>
      <c r="K18" s="24">
        <f t="shared" si="15"/>
        <v>0.11039668432477463</v>
      </c>
      <c r="L18" s="24">
        <f t="shared" si="15"/>
        <v>8.0581521404944983E-2</v>
      </c>
      <c r="M18" s="24">
        <f t="shared" si="15"/>
        <v>5.8818628762733555E-2</v>
      </c>
      <c r="N18" s="24">
        <f t="shared" si="15"/>
        <v>4.2933305666228876E-2</v>
      </c>
      <c r="O18" s="24">
        <f t="shared" si="15"/>
        <v>3.1338179318415232E-2</v>
      </c>
      <c r="P18" s="24">
        <f t="shared" si="15"/>
        <v>2.2874583444098706E-2</v>
      </c>
      <c r="Q18" s="24">
        <f t="shared" si="15"/>
        <v>1.6696776236568397E-2</v>
      </c>
      <c r="R18" s="24">
        <f t="shared" si="15"/>
        <v>1.2187427909903941E-2</v>
      </c>
      <c r="S18" s="24">
        <f t="shared" si="15"/>
        <v>8.8959327809517812E-3</v>
      </c>
      <c r="U18" s="12" t="s">
        <v>4</v>
      </c>
      <c r="V18" s="13"/>
      <c r="W18" s="41">
        <f>SUM(W16:W17)</f>
        <v>50</v>
      </c>
      <c r="X18" s="16" t="s">
        <v>139</v>
      </c>
    </row>
    <row r="19" spans="1:24" ht="26.25" thickBot="1" x14ac:dyDescent="0.25">
      <c r="A19" s="38">
        <v>13</v>
      </c>
      <c r="B19" s="25" t="s">
        <v>35</v>
      </c>
      <c r="C19" s="54" t="s">
        <v>29</v>
      </c>
      <c r="D19" s="26"/>
      <c r="E19" s="26">
        <f>E15*E18</f>
        <v>25547445.255474452</v>
      </c>
      <c r="F19" s="29">
        <f>F15*F18</f>
        <v>18647770.259470403</v>
      </c>
      <c r="G19" s="29">
        <f t="shared" ref="G19:L19" si="16">G15*G18</f>
        <v>13611511.138299562</v>
      </c>
      <c r="H19" s="29">
        <f t="shared" si="16"/>
        <v>9935409.5899996795</v>
      </c>
      <c r="I19" s="29">
        <f t="shared" si="16"/>
        <v>7252123.7883209325</v>
      </c>
      <c r="J19" s="29">
        <f t="shared" si="16"/>
        <v>5293521.0133729437</v>
      </c>
      <c r="K19" s="29">
        <f t="shared" si="16"/>
        <v>3863883.9513671123</v>
      </c>
      <c r="L19" s="29">
        <f t="shared" si="16"/>
        <v>2820353.2491730745</v>
      </c>
      <c r="M19" s="29">
        <f t="shared" ref="M19:S19" si="17">M15*M18</f>
        <v>2058652.0066956745</v>
      </c>
      <c r="N19" s="29">
        <f t="shared" si="17"/>
        <v>1502665.6983180107</v>
      </c>
      <c r="O19" s="29">
        <f t="shared" si="17"/>
        <v>1096836.2761445332</v>
      </c>
      <c r="P19" s="29">
        <f t="shared" si="17"/>
        <v>800610.4205434547</v>
      </c>
      <c r="Q19" s="29">
        <f t="shared" si="17"/>
        <v>584387.16827989393</v>
      </c>
      <c r="R19" s="29">
        <f t="shared" si="17"/>
        <v>426559.97684663796</v>
      </c>
      <c r="S19" s="29">
        <f t="shared" si="17"/>
        <v>311357.64733331231</v>
      </c>
      <c r="U19" s="12"/>
      <c r="V19" s="13"/>
      <c r="W19" s="14"/>
      <c r="X19" s="16" t="s">
        <v>0</v>
      </c>
    </row>
    <row r="20" spans="1:24" ht="14.25" thickTop="1" thickBot="1" x14ac:dyDescent="0.25">
      <c r="A20" s="48">
        <v>14</v>
      </c>
      <c r="B20" s="46" t="s">
        <v>144</v>
      </c>
      <c r="C20" s="46" t="s">
        <v>18</v>
      </c>
      <c r="D20" s="46"/>
      <c r="E20" s="47">
        <f>SUM(E19:N19)-D6</f>
        <v>533335.95049183071</v>
      </c>
      <c r="F20" s="27"/>
      <c r="G20" s="28"/>
      <c r="H20" s="28"/>
      <c r="I20" s="28"/>
      <c r="J20" s="28"/>
      <c r="K20" s="28"/>
      <c r="L20" s="28"/>
      <c r="U20" s="30" t="s">
        <v>6</v>
      </c>
      <c r="V20" s="13"/>
      <c r="W20" s="14">
        <v>0</v>
      </c>
      <c r="X20" s="15" t="s">
        <v>2</v>
      </c>
    </row>
    <row r="21" spans="1:24" ht="13.5" thickBot="1" x14ac:dyDescent="0.25">
      <c r="A21" s="50">
        <v>15</v>
      </c>
      <c r="B21" s="49" t="s">
        <v>143</v>
      </c>
      <c r="C21" s="49" t="s">
        <v>36</v>
      </c>
      <c r="D21" s="128"/>
      <c r="E21" s="130">
        <f>IRR(D15:N15,10)</f>
        <v>0.37249346359693036</v>
      </c>
      <c r="F21" s="129" t="s">
        <v>37</v>
      </c>
      <c r="U21" s="30"/>
      <c r="V21" s="13"/>
      <c r="W21" s="14"/>
      <c r="X21" s="15"/>
    </row>
    <row r="22" spans="1:24" x14ac:dyDescent="0.2">
      <c r="U22" s="30" t="s">
        <v>7</v>
      </c>
      <c r="V22" s="13"/>
      <c r="W22" s="14">
        <v>0</v>
      </c>
      <c r="X22" s="15" t="s">
        <v>2</v>
      </c>
    </row>
    <row r="23" spans="1:24" x14ac:dyDescent="0.2">
      <c r="U23" s="30"/>
      <c r="V23" s="13"/>
      <c r="W23" s="14"/>
      <c r="X23" s="15"/>
    </row>
    <row r="24" spans="1:24" ht="26.25" customHeight="1" x14ac:dyDescent="0.2">
      <c r="U24" s="31" t="s">
        <v>20</v>
      </c>
      <c r="V24" s="13"/>
      <c r="W24" s="14">
        <v>0</v>
      </c>
      <c r="X24" s="15" t="s">
        <v>2</v>
      </c>
    </row>
    <row r="25" spans="1:24" x14ac:dyDescent="0.2">
      <c r="J25" s="2" t="s">
        <v>41</v>
      </c>
      <c r="K25" s="2" t="s">
        <v>46</v>
      </c>
      <c r="L25" s="2" t="s">
        <v>38</v>
      </c>
      <c r="M25" s="2" t="s">
        <v>42</v>
      </c>
      <c r="O25" s="2" t="s">
        <v>43</v>
      </c>
      <c r="U25" s="31"/>
      <c r="V25" s="13"/>
      <c r="W25" s="14"/>
      <c r="X25" s="15"/>
    </row>
    <row r="26" spans="1:24" ht="13.5" thickBot="1" x14ac:dyDescent="0.25">
      <c r="H26" s="2" t="s">
        <v>38</v>
      </c>
      <c r="I26" s="2" t="s">
        <v>39</v>
      </c>
      <c r="J26" s="2">
        <f>0.123*O26^0.65</f>
        <v>4364.204687572982</v>
      </c>
      <c r="K26" s="1">
        <f>350*J26</f>
        <v>1527471.6406505436</v>
      </c>
      <c r="L26" s="58">
        <f>O26/K26</f>
        <v>6.5467663908581919</v>
      </c>
      <c r="M26" s="2" t="s">
        <v>44</v>
      </c>
      <c r="O26" s="1">
        <v>10000000</v>
      </c>
      <c r="U26" s="44" t="s">
        <v>19</v>
      </c>
      <c r="V26" s="19"/>
      <c r="W26" s="20">
        <v>37</v>
      </c>
      <c r="X26" s="21" t="s">
        <v>2</v>
      </c>
    </row>
    <row r="27" spans="1:24" ht="13.5" thickTop="1" x14ac:dyDescent="0.2">
      <c r="I27" s="2" t="s">
        <v>40</v>
      </c>
      <c r="J27" s="2">
        <f>0.297*O27^0.56</f>
        <v>2470.3384001749369</v>
      </c>
      <c r="K27" s="1">
        <f>350*J27</f>
        <v>864618.44006122788</v>
      </c>
      <c r="L27" s="58">
        <f>O27/K27</f>
        <v>11.565795426814921</v>
      </c>
      <c r="M27" s="2" t="s">
        <v>45</v>
      </c>
      <c r="O27" s="1">
        <v>10000000</v>
      </c>
    </row>
    <row r="31" spans="1:24" x14ac:dyDescent="0.2">
      <c r="H31" s="2" t="s">
        <v>47</v>
      </c>
      <c r="I31" s="59" t="s">
        <v>48</v>
      </c>
      <c r="J31" s="59" t="s">
        <v>105</v>
      </c>
      <c r="K31" s="59" t="s">
        <v>106</v>
      </c>
      <c r="L31" s="59" t="s">
        <v>49</v>
      </c>
      <c r="M31" s="59" t="s">
        <v>50</v>
      </c>
      <c r="N31" s="59" t="s">
        <v>107</v>
      </c>
      <c r="O31" s="59"/>
    </row>
    <row r="32" spans="1:24" x14ac:dyDescent="0.2">
      <c r="I32" s="60"/>
      <c r="J32" s="60"/>
      <c r="K32" s="60"/>
      <c r="L32" s="60" t="s">
        <v>51</v>
      </c>
      <c r="M32" s="60"/>
      <c r="N32" s="60"/>
      <c r="O32" s="60"/>
    </row>
    <row r="33" spans="9:15" x14ac:dyDescent="0.2">
      <c r="I33" s="61" t="s">
        <v>52</v>
      </c>
      <c r="J33" s="62">
        <v>0.5</v>
      </c>
      <c r="K33" s="63">
        <v>22.045999999999999</v>
      </c>
      <c r="L33" s="64">
        <v>0.75</v>
      </c>
      <c r="M33" s="64">
        <v>0.85</v>
      </c>
      <c r="N33" s="65">
        <v>3</v>
      </c>
      <c r="O33" s="66">
        <f>PRODUCT(J33:N33)</f>
        <v>21.081487500000001</v>
      </c>
    </row>
    <row r="34" spans="9:15" x14ac:dyDescent="0.2">
      <c r="I34" s="67" t="s">
        <v>53</v>
      </c>
      <c r="J34" s="68">
        <v>0.01</v>
      </c>
      <c r="K34" s="69">
        <v>1</v>
      </c>
      <c r="L34" s="70">
        <v>0.95</v>
      </c>
      <c r="M34" s="71">
        <v>0.8</v>
      </c>
      <c r="N34" s="72">
        <v>1250</v>
      </c>
      <c r="O34" s="72">
        <f>PRODUCT(J34:N34)</f>
        <v>9.5</v>
      </c>
    </row>
    <row r="35" spans="9:15" x14ac:dyDescent="0.2">
      <c r="I35" s="74" t="s">
        <v>103</v>
      </c>
      <c r="J35" s="74"/>
      <c r="K35" s="75"/>
      <c r="L35" s="75"/>
      <c r="M35" s="75"/>
      <c r="N35" s="75"/>
      <c r="O35" s="80">
        <f>SUM(O33:O34)</f>
        <v>30.581487500000001</v>
      </c>
    </row>
    <row r="36" spans="9:15" x14ac:dyDescent="0.2">
      <c r="I36" s="76"/>
      <c r="J36" s="73"/>
      <c r="K36" s="73"/>
      <c r="L36" s="73"/>
      <c r="M36" s="73"/>
      <c r="N36" s="73"/>
      <c r="O36" s="77"/>
    </row>
    <row r="37" spans="9:15" x14ac:dyDescent="0.2">
      <c r="I37" s="78"/>
      <c r="J37" s="73"/>
      <c r="K37" s="73"/>
      <c r="L37" s="73"/>
      <c r="M37" s="73"/>
      <c r="N37" s="73"/>
      <c r="O37" s="79"/>
    </row>
  </sheetData>
  <phoneticPr fontId="0" type="noConversion"/>
  <pageMargins left="0.75" right="0.75" top="1" bottom="1" header="0.4921259845" footer="0.4921259845"/>
  <pageSetup paperSize="9" scale="81" orientation="landscape" r:id="rId1"/>
  <headerFooter alignWithMargins="0">
    <oddFooter>&amp;LFlujo de caja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baseColWidth="10" defaultRowHeight="12.75" x14ac:dyDescent="0.2"/>
  <cols>
    <col min="1" max="1" width="19" customWidth="1"/>
    <col min="2" max="4" width="11.5703125" bestFit="1" customWidth="1"/>
    <col min="5" max="5" width="12.7109375" bestFit="1" customWidth="1"/>
  </cols>
  <sheetData>
    <row r="1" spans="1:6" ht="50.25" customHeight="1" x14ac:dyDescent="0.2"/>
    <row r="2" spans="1:6" x14ac:dyDescent="0.2">
      <c r="A2" s="97" t="s">
        <v>134</v>
      </c>
    </row>
    <row r="5" spans="1:6" ht="13.5" thickBot="1" x14ac:dyDescent="0.25"/>
    <row r="6" spans="1:6" ht="15" x14ac:dyDescent="0.25">
      <c r="A6" s="90" t="s">
        <v>118</v>
      </c>
      <c r="B6" s="206" t="s">
        <v>135</v>
      </c>
      <c r="C6" s="206"/>
      <c r="D6" s="206"/>
      <c r="E6" s="207"/>
    </row>
    <row r="7" spans="1:6" ht="15.75" thickBot="1" x14ac:dyDescent="0.3">
      <c r="A7" s="94" t="s">
        <v>54</v>
      </c>
      <c r="B7" s="95" t="s">
        <v>55</v>
      </c>
      <c r="C7" s="95" t="s">
        <v>58</v>
      </c>
      <c r="D7" s="95" t="s">
        <v>56</v>
      </c>
      <c r="E7" s="96" t="s">
        <v>57</v>
      </c>
    </row>
    <row r="8" spans="1:6" ht="15" x14ac:dyDescent="0.25">
      <c r="A8" s="91">
        <v>250</v>
      </c>
      <c r="B8" s="82">
        <v>24.62</v>
      </c>
      <c r="C8" s="83">
        <v>29.98</v>
      </c>
      <c r="D8" s="83">
        <v>45.53</v>
      </c>
      <c r="E8" s="84">
        <v>66.040000000000006</v>
      </c>
      <c r="F8" s="81" t="s">
        <v>111</v>
      </c>
    </row>
    <row r="9" spans="1:6" ht="15" x14ac:dyDescent="0.25">
      <c r="A9" s="91">
        <v>250</v>
      </c>
      <c r="B9" s="85">
        <v>3765700</v>
      </c>
      <c r="C9" s="85">
        <v>4971500</v>
      </c>
      <c r="D9" s="85">
        <v>6992600</v>
      </c>
      <c r="E9" s="86">
        <v>9856700</v>
      </c>
      <c r="F9" s="81" t="s">
        <v>110</v>
      </c>
    </row>
    <row r="10" spans="1:6" ht="15" x14ac:dyDescent="0.25">
      <c r="A10" s="91"/>
      <c r="B10" s="82"/>
      <c r="C10" s="83"/>
      <c r="D10" s="83"/>
      <c r="E10" s="84"/>
    </row>
    <row r="11" spans="1:6" ht="15" x14ac:dyDescent="0.25">
      <c r="A11" s="91">
        <v>500</v>
      </c>
      <c r="B11" s="82">
        <v>19.170000000000002</v>
      </c>
      <c r="C11" s="83">
        <v>28.39</v>
      </c>
      <c r="D11" s="83">
        <v>36.69</v>
      </c>
      <c r="E11" s="84">
        <v>57.24</v>
      </c>
      <c r="F11" s="81" t="s">
        <v>111</v>
      </c>
    </row>
    <row r="12" spans="1:6" ht="15" x14ac:dyDescent="0.25">
      <c r="A12" s="91">
        <v>500</v>
      </c>
      <c r="B12" s="85">
        <v>6600700</v>
      </c>
      <c r="C12" s="85">
        <v>7192200</v>
      </c>
      <c r="D12" s="85">
        <v>8539500</v>
      </c>
      <c r="E12" s="86">
        <v>12354600</v>
      </c>
      <c r="F12" s="81" t="s">
        <v>110</v>
      </c>
    </row>
    <row r="13" spans="1:6" ht="15" x14ac:dyDescent="0.25">
      <c r="A13" s="91"/>
      <c r="B13" s="82"/>
      <c r="C13" s="83"/>
      <c r="D13" s="83"/>
      <c r="E13" s="84"/>
    </row>
    <row r="14" spans="1:6" ht="15" x14ac:dyDescent="0.25">
      <c r="A14" s="92">
        <v>1000</v>
      </c>
      <c r="B14" s="82">
        <v>17.190000000000001</v>
      </c>
      <c r="C14" s="83">
        <v>22.46</v>
      </c>
      <c r="D14" s="83">
        <v>32.619999999999997</v>
      </c>
      <c r="E14" s="84">
        <v>50.93</v>
      </c>
      <c r="F14" s="81" t="s">
        <v>111</v>
      </c>
    </row>
    <row r="15" spans="1:6" ht="15" x14ac:dyDescent="0.25">
      <c r="A15" s="92">
        <v>1000</v>
      </c>
      <c r="B15" s="85">
        <v>7364600</v>
      </c>
      <c r="C15" s="85">
        <v>9048000</v>
      </c>
      <c r="D15" s="85">
        <v>13070400</v>
      </c>
      <c r="E15" s="86">
        <v>20572400</v>
      </c>
      <c r="F15" s="81" t="s">
        <v>110</v>
      </c>
    </row>
    <row r="16" spans="1:6" ht="15" x14ac:dyDescent="0.25">
      <c r="A16" s="91"/>
      <c r="B16" s="82"/>
      <c r="C16" s="83"/>
      <c r="D16" s="83"/>
      <c r="E16" s="84"/>
    </row>
    <row r="17" spans="1:6" ht="15" x14ac:dyDescent="0.25">
      <c r="A17" s="92">
        <v>2000</v>
      </c>
      <c r="B17" s="82">
        <v>14.28</v>
      </c>
      <c r="C17" s="83">
        <v>19.670000000000002</v>
      </c>
      <c r="D17" s="83">
        <v>28.52</v>
      </c>
      <c r="E17" s="84">
        <v>49.64</v>
      </c>
      <c r="F17" s="81" t="s">
        <v>111</v>
      </c>
    </row>
    <row r="18" spans="1:6" ht="15" x14ac:dyDescent="0.25">
      <c r="A18" s="92">
        <v>2000</v>
      </c>
      <c r="B18" s="85">
        <v>11890400</v>
      </c>
      <c r="C18" s="85">
        <v>15877500</v>
      </c>
      <c r="D18" s="85">
        <v>23356900</v>
      </c>
      <c r="E18" s="86">
        <v>40787600</v>
      </c>
      <c r="F18" s="81" t="s">
        <v>110</v>
      </c>
    </row>
    <row r="19" spans="1:6" ht="15" x14ac:dyDescent="0.25">
      <c r="A19" s="91"/>
      <c r="B19" s="82"/>
      <c r="C19" s="83"/>
      <c r="D19" s="83"/>
      <c r="E19" s="84"/>
    </row>
    <row r="20" spans="1:6" ht="15" x14ac:dyDescent="0.25">
      <c r="A20" s="92">
        <v>5000</v>
      </c>
      <c r="B20" s="82">
        <v>7.32</v>
      </c>
      <c r="C20" s="83">
        <v>10.130000000000001</v>
      </c>
      <c r="D20" s="83">
        <v>15.67</v>
      </c>
      <c r="E20" s="84">
        <v>27.36</v>
      </c>
      <c r="F20" s="81" t="s">
        <v>111</v>
      </c>
    </row>
    <row r="21" spans="1:6" ht="15" x14ac:dyDescent="0.25">
      <c r="A21" s="92">
        <v>5000</v>
      </c>
      <c r="B21" s="85">
        <v>19609700</v>
      </c>
      <c r="C21" s="85">
        <v>26880800</v>
      </c>
      <c r="D21" s="85">
        <v>49121600</v>
      </c>
      <c r="E21" s="86">
        <v>88175600</v>
      </c>
      <c r="F21" s="81" t="s">
        <v>110</v>
      </c>
    </row>
    <row r="22" spans="1:6" ht="15" x14ac:dyDescent="0.25">
      <c r="A22" s="91"/>
      <c r="B22" s="82"/>
      <c r="C22" s="83"/>
      <c r="D22" s="83"/>
      <c r="E22" s="84"/>
    </row>
    <row r="23" spans="1:6" ht="15" x14ac:dyDescent="0.25">
      <c r="A23" s="92">
        <v>10000</v>
      </c>
      <c r="B23" s="87">
        <v>6.48</v>
      </c>
      <c r="C23" s="83">
        <v>9.0399999999999991</v>
      </c>
      <c r="D23" s="83">
        <v>15.24</v>
      </c>
      <c r="E23" s="84">
        <v>26.28</v>
      </c>
      <c r="F23" s="81" t="s">
        <v>111</v>
      </c>
    </row>
    <row r="24" spans="1:6" ht="15" x14ac:dyDescent="0.25">
      <c r="A24" s="92">
        <v>10000</v>
      </c>
      <c r="B24" s="85">
        <v>35533100</v>
      </c>
      <c r="C24" s="85">
        <v>52178000</v>
      </c>
      <c r="D24" s="85">
        <v>91499300</v>
      </c>
      <c r="E24" s="86">
        <v>183525800</v>
      </c>
      <c r="F24" s="81" t="s">
        <v>110</v>
      </c>
    </row>
    <row r="25" spans="1:6" ht="15" x14ac:dyDescent="0.25">
      <c r="A25" s="91"/>
      <c r="B25" s="82"/>
      <c r="C25" s="83"/>
      <c r="D25" s="83"/>
      <c r="E25" s="84"/>
    </row>
    <row r="26" spans="1:6" ht="15" x14ac:dyDescent="0.25">
      <c r="A26" s="92">
        <v>20000</v>
      </c>
      <c r="B26" s="87">
        <v>5.85</v>
      </c>
      <c r="C26" s="83">
        <v>8.6</v>
      </c>
      <c r="D26" s="83">
        <v>14.99</v>
      </c>
      <c r="E26" s="84">
        <v>26.15</v>
      </c>
      <c r="F26" s="81" t="s">
        <v>111</v>
      </c>
    </row>
    <row r="27" spans="1:6" ht="15" x14ac:dyDescent="0.25">
      <c r="A27" s="92">
        <v>20000</v>
      </c>
      <c r="B27" s="85">
        <v>67750400</v>
      </c>
      <c r="C27" s="85">
        <v>93576400</v>
      </c>
      <c r="D27" s="85">
        <v>181272760</v>
      </c>
      <c r="E27" s="86">
        <v>357506300</v>
      </c>
      <c r="F27" s="81" t="s">
        <v>110</v>
      </c>
    </row>
    <row r="28" spans="1:6" ht="15" x14ac:dyDescent="0.25">
      <c r="A28" s="91"/>
      <c r="B28" s="82"/>
      <c r="C28" s="83"/>
      <c r="D28" s="83"/>
      <c r="E28" s="84"/>
    </row>
    <row r="29" spans="1:6" ht="15" x14ac:dyDescent="0.25">
      <c r="A29" s="92">
        <v>40000</v>
      </c>
      <c r="B29" s="87">
        <v>5.49</v>
      </c>
      <c r="C29" s="83">
        <v>8.02</v>
      </c>
      <c r="D29" s="83">
        <v>13.82</v>
      </c>
      <c r="E29" s="84">
        <v>25.44</v>
      </c>
      <c r="F29" s="81" t="s">
        <v>111</v>
      </c>
    </row>
    <row r="30" spans="1:6" ht="15" x14ac:dyDescent="0.25">
      <c r="A30" s="92">
        <v>40000</v>
      </c>
      <c r="B30" s="85">
        <v>119819700</v>
      </c>
      <c r="C30" s="85">
        <v>228260900</v>
      </c>
      <c r="D30" s="85">
        <v>405321800</v>
      </c>
      <c r="E30" s="86">
        <v>749095200</v>
      </c>
      <c r="F30" s="81" t="s">
        <v>110</v>
      </c>
    </row>
    <row r="31" spans="1:6" ht="15" x14ac:dyDescent="0.25">
      <c r="A31" s="91"/>
      <c r="B31" s="82"/>
      <c r="C31" s="83"/>
      <c r="D31" s="83"/>
      <c r="E31" s="84"/>
    </row>
    <row r="32" spans="1:6" ht="15" x14ac:dyDescent="0.25">
      <c r="A32" s="92">
        <v>80000</v>
      </c>
      <c r="B32" s="87">
        <v>4.51</v>
      </c>
      <c r="C32" s="83">
        <v>7.9</v>
      </c>
      <c r="D32" s="83">
        <v>13.72</v>
      </c>
      <c r="E32" s="84">
        <v>25.03</v>
      </c>
      <c r="F32" s="81" t="s">
        <v>111</v>
      </c>
    </row>
    <row r="33" spans="1:6" ht="15.75" thickBot="1" x14ac:dyDescent="0.3">
      <c r="A33" s="93">
        <v>80000</v>
      </c>
      <c r="B33" s="88">
        <v>224924800</v>
      </c>
      <c r="C33" s="88">
        <v>444356500</v>
      </c>
      <c r="D33" s="88">
        <v>854467600</v>
      </c>
      <c r="E33" s="89">
        <v>1582499400</v>
      </c>
      <c r="F33" s="81" t="s">
        <v>110</v>
      </c>
    </row>
  </sheetData>
  <mergeCells count="1">
    <mergeCell ref="B6:E6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/>
  </sheetViews>
  <sheetFormatPr baseColWidth="10" defaultRowHeight="12.75" x14ac:dyDescent="0.2"/>
  <cols>
    <col min="1" max="16384" width="11.42578125" style="81"/>
  </cols>
  <sheetData>
    <row r="1" spans="1:11" ht="57" customHeight="1" x14ac:dyDescent="0.2"/>
    <row r="2" spans="1:11" ht="20.25" customHeight="1" x14ac:dyDescent="0.2">
      <c r="A2" s="97" t="s">
        <v>60</v>
      </c>
    </row>
    <row r="4" spans="1:11" ht="15.75" thickBot="1" x14ac:dyDescent="0.3">
      <c r="B4" s="78"/>
      <c r="C4" s="78"/>
      <c r="D4" s="78"/>
      <c r="E4" s="78"/>
      <c r="F4" s="98"/>
      <c r="G4" s="78"/>
      <c r="H4" s="98"/>
      <c r="I4" s="78"/>
      <c r="J4" s="98"/>
    </row>
    <row r="5" spans="1:11" ht="15" x14ac:dyDescent="0.25">
      <c r="B5" s="99" t="s">
        <v>126</v>
      </c>
      <c r="C5" s="100"/>
      <c r="D5" s="100"/>
      <c r="E5" s="100"/>
      <c r="F5" s="101">
        <v>200</v>
      </c>
      <c r="G5" s="101"/>
      <c r="H5" s="102">
        <v>1000</v>
      </c>
      <c r="I5" s="102"/>
      <c r="J5" s="114">
        <v>2000</v>
      </c>
    </row>
    <row r="6" spans="1:11" ht="15" x14ac:dyDescent="0.25">
      <c r="B6" s="103" t="s">
        <v>124</v>
      </c>
      <c r="C6" s="78"/>
      <c r="D6" s="78"/>
      <c r="E6" s="78"/>
      <c r="F6" s="98">
        <v>113.21</v>
      </c>
      <c r="G6" s="78"/>
      <c r="H6" s="98">
        <v>71.94</v>
      </c>
      <c r="I6" s="78"/>
      <c r="J6" s="104">
        <v>59.29</v>
      </c>
      <c r="K6" s="81" t="s">
        <v>111</v>
      </c>
    </row>
    <row r="7" spans="1:11" ht="15" x14ac:dyDescent="0.25">
      <c r="B7" s="103"/>
      <c r="C7" s="78"/>
      <c r="D7" s="78"/>
      <c r="E7" s="78"/>
      <c r="F7" s="105">
        <v>12965700</v>
      </c>
      <c r="G7" s="78"/>
      <c r="H7" s="105">
        <v>26895700</v>
      </c>
      <c r="I7" s="78"/>
      <c r="J7" s="106">
        <v>37417200</v>
      </c>
      <c r="K7" s="81" t="s">
        <v>110</v>
      </c>
    </row>
    <row r="8" spans="1:11" ht="15" x14ac:dyDescent="0.25">
      <c r="B8" s="103" t="s">
        <v>125</v>
      </c>
      <c r="C8" s="78"/>
      <c r="D8" s="78"/>
      <c r="E8" s="78"/>
      <c r="F8" s="98">
        <v>118.72</v>
      </c>
      <c r="G8" s="78"/>
      <c r="H8" s="98">
        <v>74.81</v>
      </c>
      <c r="I8" s="78"/>
      <c r="J8" s="104">
        <v>61.02</v>
      </c>
      <c r="K8" s="81" t="s">
        <v>111</v>
      </c>
    </row>
    <row r="9" spans="1:11" ht="15.75" thickBot="1" x14ac:dyDescent="0.3">
      <c r="B9" s="107"/>
      <c r="C9" s="108"/>
      <c r="D9" s="108"/>
      <c r="E9" s="108"/>
      <c r="F9" s="109">
        <v>19886900</v>
      </c>
      <c r="G9" s="108"/>
      <c r="H9" s="109">
        <v>32607300</v>
      </c>
      <c r="I9" s="108"/>
      <c r="J9" s="110">
        <v>48642100</v>
      </c>
      <c r="K9" s="81" t="s">
        <v>110</v>
      </c>
    </row>
    <row r="10" spans="1:11" ht="15.75" thickBot="1" x14ac:dyDescent="0.3">
      <c r="B10" s="78"/>
      <c r="C10" s="78"/>
      <c r="D10" s="78"/>
      <c r="E10" s="78"/>
      <c r="F10" s="98"/>
      <c r="G10" s="78"/>
      <c r="H10" s="98"/>
      <c r="I10" s="78"/>
      <c r="J10" s="98"/>
    </row>
    <row r="11" spans="1:11" ht="15" x14ac:dyDescent="0.25">
      <c r="B11" s="99" t="s">
        <v>127</v>
      </c>
      <c r="C11" s="100"/>
      <c r="D11" s="100"/>
      <c r="E11" s="100"/>
      <c r="F11" s="101">
        <v>200</v>
      </c>
      <c r="G11" s="101"/>
      <c r="H11" s="102">
        <v>1000</v>
      </c>
      <c r="I11" s="102"/>
      <c r="J11" s="114">
        <v>2000</v>
      </c>
    </row>
    <row r="12" spans="1:11" ht="15" x14ac:dyDescent="0.25">
      <c r="B12" s="103" t="s">
        <v>124</v>
      </c>
      <c r="C12" s="78"/>
      <c r="D12" s="78"/>
      <c r="E12" s="78"/>
      <c r="F12" s="98">
        <v>77.45</v>
      </c>
      <c r="G12" s="78"/>
      <c r="H12" s="98">
        <v>42.42</v>
      </c>
      <c r="I12" s="78"/>
      <c r="J12" s="104">
        <v>38.42</v>
      </c>
      <c r="K12" s="81" t="s">
        <v>111</v>
      </c>
    </row>
    <row r="13" spans="1:11" ht="15" x14ac:dyDescent="0.25">
      <c r="B13" s="103"/>
      <c r="C13" s="78"/>
      <c r="D13" s="78"/>
      <c r="E13" s="78"/>
      <c r="F13" s="105">
        <v>22026700</v>
      </c>
      <c r="G13" s="78"/>
      <c r="H13" s="105">
        <v>37145900</v>
      </c>
      <c r="I13" s="78"/>
      <c r="J13" s="106">
        <v>53594300</v>
      </c>
      <c r="K13" s="81" t="s">
        <v>110</v>
      </c>
    </row>
    <row r="14" spans="1:11" ht="15" x14ac:dyDescent="0.25">
      <c r="B14" s="103" t="s">
        <v>125</v>
      </c>
      <c r="C14" s="78"/>
      <c r="D14" s="78"/>
      <c r="E14" s="78"/>
      <c r="F14" s="98">
        <v>82.69</v>
      </c>
      <c r="G14" s="78"/>
      <c r="H14" s="98">
        <v>44.3</v>
      </c>
      <c r="I14" s="78"/>
      <c r="J14" s="104">
        <v>400.01</v>
      </c>
      <c r="K14" s="81" t="s">
        <v>111</v>
      </c>
    </row>
    <row r="15" spans="1:11" ht="15.75" thickBot="1" x14ac:dyDescent="0.3">
      <c r="B15" s="107"/>
      <c r="C15" s="108"/>
      <c r="D15" s="108"/>
      <c r="E15" s="108"/>
      <c r="F15" s="109">
        <v>29294300</v>
      </c>
      <c r="G15" s="108"/>
      <c r="H15" s="109">
        <v>44822400</v>
      </c>
      <c r="I15" s="108"/>
      <c r="J15" s="110">
        <v>61482300</v>
      </c>
      <c r="K15" s="81" t="s">
        <v>110</v>
      </c>
    </row>
    <row r="16" spans="1:11" ht="15.75" thickBot="1" x14ac:dyDescent="0.3">
      <c r="B16" s="78"/>
      <c r="C16" s="78"/>
      <c r="D16" s="78"/>
      <c r="E16" s="78"/>
      <c r="F16" s="98"/>
      <c r="G16" s="78"/>
      <c r="H16" s="98"/>
      <c r="I16" s="78"/>
      <c r="J16" s="98"/>
    </row>
    <row r="17" spans="2:11" ht="15" x14ac:dyDescent="0.25">
      <c r="B17" s="99" t="s">
        <v>59</v>
      </c>
      <c r="C17" s="100"/>
      <c r="D17" s="100"/>
      <c r="E17" s="100"/>
      <c r="F17" s="101">
        <v>200</v>
      </c>
      <c r="G17" s="101"/>
      <c r="H17" s="102">
        <v>1000</v>
      </c>
      <c r="I17" s="102"/>
      <c r="J17" s="114">
        <v>2000</v>
      </c>
    </row>
    <row r="18" spans="2:11" ht="15" x14ac:dyDescent="0.25">
      <c r="B18" s="103" t="s">
        <v>124</v>
      </c>
      <c r="C18" s="78"/>
      <c r="D18" s="78"/>
      <c r="E18" s="78"/>
      <c r="F18" s="98">
        <v>90.23</v>
      </c>
      <c r="G18" s="78"/>
      <c r="H18" s="98">
        <v>53.21</v>
      </c>
      <c r="I18" s="78"/>
      <c r="J18" s="104">
        <v>51.96</v>
      </c>
      <c r="K18" s="81" t="s">
        <v>111</v>
      </c>
    </row>
    <row r="19" spans="2:11" ht="15" x14ac:dyDescent="0.25">
      <c r="B19" s="103"/>
      <c r="C19" s="78"/>
      <c r="D19" s="78"/>
      <c r="E19" s="78"/>
      <c r="F19" s="105">
        <v>11634700</v>
      </c>
      <c r="G19" s="78"/>
      <c r="H19" s="105">
        <v>22210300</v>
      </c>
      <c r="I19" s="78"/>
      <c r="J19" s="106">
        <v>37350200</v>
      </c>
      <c r="K19" s="81" t="s">
        <v>110</v>
      </c>
    </row>
    <row r="20" spans="2:11" ht="15" x14ac:dyDescent="0.25">
      <c r="B20" s="103" t="s">
        <v>125</v>
      </c>
      <c r="C20" s="78"/>
      <c r="D20" s="78"/>
      <c r="E20" s="78"/>
      <c r="F20" s="98">
        <v>94.48</v>
      </c>
      <c r="G20" s="78"/>
      <c r="H20" s="98">
        <v>56.03</v>
      </c>
      <c r="I20" s="78"/>
      <c r="J20" s="104">
        <v>54.14</v>
      </c>
      <c r="K20" s="81" t="s">
        <v>111</v>
      </c>
    </row>
    <row r="21" spans="2:11" ht="15.75" thickBot="1" x14ac:dyDescent="0.3">
      <c r="B21" s="107"/>
      <c r="C21" s="108"/>
      <c r="D21" s="108"/>
      <c r="E21" s="108"/>
      <c r="F21" s="109">
        <v>19042303</v>
      </c>
      <c r="G21" s="108"/>
      <c r="H21" s="109">
        <v>31429800</v>
      </c>
      <c r="I21" s="108"/>
      <c r="J21" s="110">
        <v>50324000</v>
      </c>
      <c r="K21" s="81" t="s">
        <v>110</v>
      </c>
    </row>
    <row r="22" spans="2:11" ht="15.75" thickBot="1" x14ac:dyDescent="0.3">
      <c r="B22" s="78"/>
      <c r="C22" s="78"/>
      <c r="D22" s="78"/>
      <c r="E22" s="78"/>
      <c r="F22" s="98"/>
      <c r="G22" s="78"/>
      <c r="H22" s="98"/>
      <c r="I22" s="78"/>
      <c r="J22" s="98"/>
    </row>
    <row r="23" spans="2:11" ht="15" x14ac:dyDescent="0.25">
      <c r="B23" s="99" t="s">
        <v>128</v>
      </c>
      <c r="C23" s="100"/>
      <c r="D23" s="100"/>
      <c r="E23" s="100"/>
      <c r="F23" s="101">
        <v>800</v>
      </c>
      <c r="G23" s="101"/>
      <c r="H23" s="102">
        <v>2000</v>
      </c>
      <c r="I23" s="102"/>
      <c r="J23" s="114">
        <v>4000</v>
      </c>
    </row>
    <row r="24" spans="2:11" ht="15" x14ac:dyDescent="0.25">
      <c r="B24" s="103" t="s">
        <v>124</v>
      </c>
      <c r="C24" s="78"/>
      <c r="D24" s="78"/>
      <c r="E24" s="78"/>
      <c r="F24" s="98">
        <v>33.96</v>
      </c>
      <c r="G24" s="78"/>
      <c r="H24" s="98">
        <v>25.91</v>
      </c>
      <c r="I24" s="78"/>
      <c r="J24" s="104">
        <v>22.26</v>
      </c>
      <c r="K24" s="81" t="s">
        <v>111</v>
      </c>
    </row>
    <row r="25" spans="2:11" ht="15" x14ac:dyDescent="0.25">
      <c r="B25" s="103"/>
      <c r="C25" s="78"/>
      <c r="D25" s="78"/>
      <c r="E25" s="78"/>
      <c r="F25" s="105">
        <v>23581600</v>
      </c>
      <c r="G25" s="78"/>
      <c r="H25" s="105">
        <v>37437400</v>
      </c>
      <c r="I25" s="78"/>
      <c r="J25" s="106">
        <v>61461900</v>
      </c>
      <c r="K25" s="81" t="s">
        <v>110</v>
      </c>
    </row>
    <row r="26" spans="2:11" ht="15" x14ac:dyDescent="0.25">
      <c r="B26" s="103" t="s">
        <v>125</v>
      </c>
      <c r="C26" s="78"/>
      <c r="D26" s="78"/>
      <c r="E26" s="78"/>
      <c r="F26" s="98">
        <v>36.85</v>
      </c>
      <c r="G26" s="78"/>
      <c r="H26" s="98">
        <v>27.44</v>
      </c>
      <c r="I26" s="78"/>
      <c r="J26" s="104">
        <v>23.73</v>
      </c>
      <c r="K26" s="81" t="s">
        <v>111</v>
      </c>
    </row>
    <row r="27" spans="2:11" ht="15.75" thickBot="1" x14ac:dyDescent="0.3">
      <c r="B27" s="107"/>
      <c r="C27" s="108"/>
      <c r="D27" s="108"/>
      <c r="E27" s="108"/>
      <c r="F27" s="109">
        <v>31871200</v>
      </c>
      <c r="G27" s="108"/>
      <c r="H27" s="109">
        <v>49401500</v>
      </c>
      <c r="I27" s="108"/>
      <c r="J27" s="110">
        <v>91538700</v>
      </c>
      <c r="K27" s="81" t="s">
        <v>110</v>
      </c>
    </row>
    <row r="28" spans="2:11" ht="15.75" thickBot="1" x14ac:dyDescent="0.3">
      <c r="B28" s="78"/>
      <c r="C28" s="78"/>
      <c r="D28" s="78"/>
      <c r="E28" s="78"/>
      <c r="F28" s="98"/>
      <c r="G28" s="78"/>
      <c r="H28" s="98"/>
      <c r="I28" s="78"/>
      <c r="J28" s="98"/>
    </row>
    <row r="29" spans="2:11" ht="15" x14ac:dyDescent="0.25">
      <c r="B29" s="99" t="s">
        <v>129</v>
      </c>
      <c r="C29" s="100"/>
      <c r="D29" s="100"/>
      <c r="E29" s="100"/>
      <c r="F29" s="101">
        <v>800</v>
      </c>
      <c r="G29" s="101"/>
      <c r="H29" s="102">
        <v>2000</v>
      </c>
      <c r="I29" s="102"/>
      <c r="J29" s="114">
        <v>4000</v>
      </c>
    </row>
    <row r="30" spans="2:11" ht="15" x14ac:dyDescent="0.25">
      <c r="B30" s="103" t="s">
        <v>124</v>
      </c>
      <c r="C30" s="78"/>
      <c r="D30" s="78"/>
      <c r="E30" s="78"/>
      <c r="F30" s="98">
        <v>50.15</v>
      </c>
      <c r="G30" s="78"/>
      <c r="H30" s="98">
        <v>46.63</v>
      </c>
      <c r="I30" s="78"/>
      <c r="J30" s="111">
        <v>41.5</v>
      </c>
      <c r="K30" s="81" t="s">
        <v>111</v>
      </c>
    </row>
    <row r="31" spans="2:11" ht="15" x14ac:dyDescent="0.25">
      <c r="B31" s="103"/>
      <c r="C31" s="78"/>
      <c r="D31" s="78"/>
      <c r="E31" s="78"/>
      <c r="F31" s="105">
        <v>29984800</v>
      </c>
      <c r="G31" s="78"/>
      <c r="H31" s="105">
        <v>58816300</v>
      </c>
      <c r="I31" s="78"/>
      <c r="J31" s="106">
        <v>107302600</v>
      </c>
      <c r="K31" s="81" t="s">
        <v>110</v>
      </c>
    </row>
    <row r="32" spans="2:11" ht="15" x14ac:dyDescent="0.25">
      <c r="B32" s="103" t="s">
        <v>125</v>
      </c>
      <c r="C32" s="78"/>
      <c r="D32" s="78"/>
      <c r="E32" s="78"/>
      <c r="F32" s="98">
        <v>53.12</v>
      </c>
      <c r="G32" s="78"/>
      <c r="H32" s="98">
        <v>47.99</v>
      </c>
      <c r="I32" s="78"/>
      <c r="J32" s="104">
        <v>41.81</v>
      </c>
      <c r="K32" s="81" t="s">
        <v>111</v>
      </c>
    </row>
    <row r="33" spans="2:11" ht="15.75" thickBot="1" x14ac:dyDescent="0.3">
      <c r="B33" s="107"/>
      <c r="C33" s="108"/>
      <c r="D33" s="108"/>
      <c r="E33" s="108"/>
      <c r="F33" s="109">
        <v>40034600</v>
      </c>
      <c r="G33" s="108"/>
      <c r="H33" s="109">
        <v>72581700</v>
      </c>
      <c r="I33" s="108"/>
      <c r="J33" s="110">
        <v>148711800</v>
      </c>
      <c r="K33" s="81" t="s">
        <v>110</v>
      </c>
    </row>
    <row r="34" spans="2:11" ht="15.75" thickBot="1" x14ac:dyDescent="0.3">
      <c r="B34" s="78"/>
      <c r="C34" s="78"/>
      <c r="D34" s="78"/>
      <c r="E34" s="78"/>
      <c r="F34" s="98"/>
      <c r="G34" s="78"/>
      <c r="H34" s="98"/>
      <c r="I34" s="78"/>
      <c r="J34" s="98"/>
    </row>
    <row r="35" spans="2:11" ht="15" x14ac:dyDescent="0.25">
      <c r="B35" s="99" t="s">
        <v>130</v>
      </c>
      <c r="C35" s="100"/>
      <c r="D35" s="100"/>
      <c r="E35" s="100"/>
      <c r="F35" s="101">
        <v>800</v>
      </c>
      <c r="G35" s="101"/>
      <c r="H35" s="102">
        <v>4000</v>
      </c>
      <c r="I35" s="102"/>
      <c r="J35" s="114">
        <v>8000</v>
      </c>
    </row>
    <row r="36" spans="2:11" ht="15" x14ac:dyDescent="0.25">
      <c r="B36" s="103" t="s">
        <v>124</v>
      </c>
      <c r="C36" s="78"/>
      <c r="D36" s="78"/>
      <c r="E36" s="78"/>
      <c r="F36" s="98">
        <v>31.17</v>
      </c>
      <c r="G36" s="78"/>
      <c r="H36" s="98">
        <v>19.07</v>
      </c>
      <c r="I36" s="78"/>
      <c r="J36" s="104">
        <v>18.29</v>
      </c>
      <c r="K36" s="81" t="s">
        <v>111</v>
      </c>
    </row>
    <row r="37" spans="2:11" ht="15" x14ac:dyDescent="0.25">
      <c r="B37" s="103"/>
      <c r="C37" s="78"/>
      <c r="D37" s="78"/>
      <c r="E37" s="78"/>
      <c r="F37" s="105">
        <v>21584000</v>
      </c>
      <c r="G37" s="78"/>
      <c r="H37" s="105">
        <v>52067800</v>
      </c>
      <c r="I37" s="78"/>
      <c r="J37" s="106">
        <v>84123000</v>
      </c>
      <c r="K37" s="81" t="s">
        <v>110</v>
      </c>
    </row>
    <row r="38" spans="2:11" ht="15" x14ac:dyDescent="0.25">
      <c r="B38" s="103" t="s">
        <v>125</v>
      </c>
      <c r="C38" s="78"/>
      <c r="D38" s="78"/>
      <c r="E38" s="78"/>
      <c r="F38" s="98">
        <v>33.520000000000003</v>
      </c>
      <c r="G38" s="78"/>
      <c r="H38" s="98">
        <v>20.32</v>
      </c>
      <c r="I38" s="78"/>
      <c r="J38" s="104">
        <v>19.059999999999999</v>
      </c>
      <c r="K38" s="81" t="s">
        <v>111</v>
      </c>
    </row>
    <row r="39" spans="2:11" ht="15.75" thickBot="1" x14ac:dyDescent="0.3">
      <c r="B39" s="107"/>
      <c r="C39" s="108"/>
      <c r="D39" s="108"/>
      <c r="E39" s="108"/>
      <c r="F39" s="109">
        <v>28575300</v>
      </c>
      <c r="G39" s="108"/>
      <c r="H39" s="109">
        <v>70367900</v>
      </c>
      <c r="I39" s="108"/>
      <c r="J39" s="110">
        <v>119325300</v>
      </c>
      <c r="K39" s="81" t="s">
        <v>110</v>
      </c>
    </row>
    <row r="40" spans="2:11" ht="15.75" thickBot="1" x14ac:dyDescent="0.3">
      <c r="B40" s="78"/>
      <c r="C40" s="78"/>
      <c r="D40" s="78"/>
      <c r="E40" s="78"/>
      <c r="F40" s="98"/>
      <c r="G40" s="78"/>
      <c r="H40" s="98"/>
      <c r="I40" s="78"/>
      <c r="J40" s="98"/>
    </row>
    <row r="41" spans="2:11" ht="15" x14ac:dyDescent="0.25">
      <c r="B41" s="99" t="s">
        <v>131</v>
      </c>
      <c r="C41" s="100"/>
      <c r="D41" s="100"/>
      <c r="E41" s="100"/>
      <c r="F41" s="102">
        <v>1200</v>
      </c>
      <c r="G41" s="101"/>
      <c r="H41" s="102">
        <v>8000</v>
      </c>
      <c r="I41" s="112"/>
      <c r="J41" s="114">
        <v>14000</v>
      </c>
    </row>
    <row r="42" spans="2:11" ht="15" x14ac:dyDescent="0.25">
      <c r="B42" s="103" t="s">
        <v>124</v>
      </c>
      <c r="C42" s="78"/>
      <c r="D42" s="78"/>
      <c r="E42" s="78"/>
      <c r="F42" s="98">
        <v>36.54</v>
      </c>
      <c r="G42" s="78"/>
      <c r="H42" s="98">
        <v>22.43</v>
      </c>
      <c r="I42" s="78"/>
      <c r="J42" s="104">
        <v>15.96</v>
      </c>
      <c r="K42" s="81" t="s">
        <v>111</v>
      </c>
    </row>
    <row r="43" spans="2:11" ht="15" x14ac:dyDescent="0.25">
      <c r="B43" s="103"/>
      <c r="C43" s="78"/>
      <c r="D43" s="78"/>
      <c r="E43" s="78"/>
      <c r="F43" s="105">
        <v>35444500</v>
      </c>
      <c r="G43" s="78"/>
      <c r="H43" s="105">
        <v>104621700</v>
      </c>
      <c r="I43" s="78"/>
      <c r="J43" s="106">
        <v>130649000</v>
      </c>
      <c r="K43" s="81" t="s">
        <v>110</v>
      </c>
    </row>
    <row r="44" spans="2:11" ht="15" x14ac:dyDescent="0.25">
      <c r="B44" s="103" t="s">
        <v>125</v>
      </c>
      <c r="C44" s="78"/>
      <c r="D44" s="78"/>
      <c r="E44" s="78"/>
      <c r="F44" s="98">
        <v>40.14</v>
      </c>
      <c r="G44" s="78"/>
      <c r="H44" s="98">
        <v>22.9</v>
      </c>
      <c r="I44" s="78"/>
      <c r="J44" s="104">
        <v>17.260000000000002</v>
      </c>
      <c r="K44" s="81" t="s">
        <v>111</v>
      </c>
    </row>
    <row r="45" spans="2:11" ht="15.75" thickBot="1" x14ac:dyDescent="0.3">
      <c r="B45" s="107"/>
      <c r="C45" s="108"/>
      <c r="D45" s="108"/>
      <c r="E45" s="108"/>
      <c r="F45" s="109">
        <v>45354600</v>
      </c>
      <c r="G45" s="108"/>
      <c r="H45" s="109">
        <v>126966900</v>
      </c>
      <c r="I45" s="108"/>
      <c r="J45" s="110">
        <v>152753300</v>
      </c>
      <c r="K45" s="81" t="s">
        <v>110</v>
      </c>
    </row>
    <row r="46" spans="2:11" ht="15.75" thickBot="1" x14ac:dyDescent="0.3">
      <c r="B46" s="78"/>
      <c r="C46" s="78"/>
      <c r="D46" s="78"/>
      <c r="E46" s="78"/>
      <c r="F46" s="98"/>
      <c r="G46" s="78"/>
      <c r="H46" s="98"/>
      <c r="I46" s="78"/>
      <c r="J46" s="98"/>
    </row>
    <row r="47" spans="2:11" ht="15" x14ac:dyDescent="0.25">
      <c r="B47" s="99" t="s">
        <v>132</v>
      </c>
      <c r="C47" s="100"/>
      <c r="D47" s="100"/>
      <c r="E47" s="100"/>
      <c r="F47" s="102">
        <v>4000</v>
      </c>
      <c r="G47" s="101"/>
      <c r="H47" s="102">
        <v>8000</v>
      </c>
      <c r="I47" s="102"/>
      <c r="J47" s="114">
        <v>14000</v>
      </c>
    </row>
    <row r="48" spans="2:11" ht="15" x14ac:dyDescent="0.25">
      <c r="B48" s="103" t="s">
        <v>124</v>
      </c>
      <c r="C48" s="78"/>
      <c r="D48" s="78"/>
      <c r="E48" s="78"/>
      <c r="F48" s="98">
        <v>25.64</v>
      </c>
      <c r="G48" s="78"/>
      <c r="H48" s="98">
        <v>20.77</v>
      </c>
      <c r="I48" s="78"/>
      <c r="J48" s="104">
        <v>18.920000000000002</v>
      </c>
      <c r="K48" s="81" t="s">
        <v>111</v>
      </c>
    </row>
    <row r="49" spans="2:11" ht="15" x14ac:dyDescent="0.25">
      <c r="B49" s="103"/>
      <c r="C49" s="78"/>
      <c r="D49" s="78"/>
      <c r="E49" s="78"/>
      <c r="F49" s="105">
        <v>58252300</v>
      </c>
      <c r="G49" s="78"/>
      <c r="H49" s="105">
        <v>102808600</v>
      </c>
      <c r="I49" s="78"/>
      <c r="J49" s="106">
        <v>168308700</v>
      </c>
      <c r="K49" s="81" t="s">
        <v>110</v>
      </c>
    </row>
    <row r="50" spans="2:11" ht="15" x14ac:dyDescent="0.25">
      <c r="B50" s="103" t="s">
        <v>125</v>
      </c>
      <c r="C50" s="78"/>
      <c r="D50" s="78"/>
      <c r="E50" s="78"/>
      <c r="F50" s="98">
        <v>28.47</v>
      </c>
      <c r="G50" s="78"/>
      <c r="H50" s="98">
        <v>23.13</v>
      </c>
      <c r="I50" s="78"/>
      <c r="J50" s="104">
        <v>19.89</v>
      </c>
      <c r="K50" s="81" t="s">
        <v>111</v>
      </c>
    </row>
    <row r="51" spans="2:11" ht="15.75" thickBot="1" x14ac:dyDescent="0.3">
      <c r="B51" s="107"/>
      <c r="C51" s="108"/>
      <c r="D51" s="108"/>
      <c r="E51" s="108"/>
      <c r="F51" s="109">
        <v>92684800</v>
      </c>
      <c r="G51" s="108"/>
      <c r="H51" s="109">
        <v>158735400</v>
      </c>
      <c r="I51" s="108"/>
      <c r="J51" s="110">
        <v>224491300</v>
      </c>
      <c r="K51" s="81" t="s">
        <v>110</v>
      </c>
    </row>
    <row r="52" spans="2:11" ht="15.75" thickBot="1" x14ac:dyDescent="0.3">
      <c r="B52" s="78"/>
      <c r="C52" s="78"/>
      <c r="D52" s="78"/>
      <c r="E52" s="78"/>
      <c r="F52" s="98"/>
      <c r="G52" s="78"/>
      <c r="H52" s="98"/>
      <c r="I52" s="78"/>
      <c r="J52" s="98"/>
    </row>
    <row r="53" spans="2:11" ht="15" x14ac:dyDescent="0.25">
      <c r="B53" s="99" t="s">
        <v>133</v>
      </c>
      <c r="C53" s="100"/>
      <c r="D53" s="100"/>
      <c r="E53" s="100"/>
      <c r="F53" s="102">
        <v>20000</v>
      </c>
      <c r="G53" s="101"/>
      <c r="H53" s="102">
        <v>30000</v>
      </c>
      <c r="I53" s="102"/>
      <c r="J53" s="114">
        <v>45000</v>
      </c>
    </row>
    <row r="54" spans="2:11" ht="15" x14ac:dyDescent="0.25">
      <c r="B54" s="103" t="s">
        <v>124</v>
      </c>
      <c r="C54" s="78"/>
      <c r="D54" s="78"/>
      <c r="E54" s="78"/>
      <c r="F54" s="98">
        <v>8.08</v>
      </c>
      <c r="G54" s="78"/>
      <c r="H54" s="98">
        <v>6.82</v>
      </c>
      <c r="I54" s="78"/>
      <c r="J54" s="104">
        <v>6.11</v>
      </c>
      <c r="K54" s="81" t="s">
        <v>111</v>
      </c>
    </row>
    <row r="55" spans="2:11" ht="15" x14ac:dyDescent="0.25">
      <c r="B55" s="103"/>
      <c r="C55" s="78"/>
      <c r="D55" s="78"/>
      <c r="E55" s="78"/>
      <c r="F55" s="105">
        <v>63841400</v>
      </c>
      <c r="G55" s="78"/>
      <c r="H55" s="105">
        <v>82974100</v>
      </c>
      <c r="I55" s="78"/>
      <c r="J55" s="106">
        <v>107125700</v>
      </c>
      <c r="K55" s="81" t="s">
        <v>110</v>
      </c>
    </row>
    <row r="56" spans="2:11" ht="15" x14ac:dyDescent="0.25">
      <c r="B56" s="103" t="s">
        <v>125</v>
      </c>
      <c r="C56" s="78"/>
      <c r="D56" s="78"/>
      <c r="E56" s="78"/>
      <c r="F56" s="98">
        <v>9.1199999999999992</v>
      </c>
      <c r="G56" s="78"/>
      <c r="H56" s="113">
        <v>8.1</v>
      </c>
      <c r="I56" s="78"/>
      <c r="J56" s="104">
        <v>7.49</v>
      </c>
      <c r="K56" s="81" t="s">
        <v>111</v>
      </c>
    </row>
    <row r="57" spans="2:11" ht="15.75" thickBot="1" x14ac:dyDescent="0.3">
      <c r="B57" s="107"/>
      <c r="C57" s="108"/>
      <c r="D57" s="108"/>
      <c r="E57" s="108"/>
      <c r="F57" s="109">
        <v>95484700</v>
      </c>
      <c r="G57" s="108"/>
      <c r="H57" s="109">
        <v>153763000</v>
      </c>
      <c r="I57" s="108"/>
      <c r="J57" s="110">
        <v>206035000</v>
      </c>
      <c r="K57" s="81" t="s">
        <v>110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baseColWidth="10" defaultRowHeight="12.75" x14ac:dyDescent="0.2"/>
  <cols>
    <col min="1" max="16384" width="11.42578125" style="81"/>
  </cols>
  <sheetData>
    <row r="1" spans="2:11" ht="56.25" customHeight="1" x14ac:dyDescent="0.2"/>
    <row r="3" spans="2:11" ht="15" x14ac:dyDescent="0.25">
      <c r="B3" s="115"/>
      <c r="C3" s="115"/>
      <c r="D3" s="115"/>
      <c r="E3" s="115"/>
      <c r="F3" s="115"/>
      <c r="G3" s="115"/>
      <c r="H3" s="115"/>
      <c r="I3" s="116" t="s">
        <v>112</v>
      </c>
      <c r="J3" s="115"/>
    </row>
    <row r="4" spans="2:11" ht="15" x14ac:dyDescent="0.25">
      <c r="B4" s="117"/>
      <c r="C4" s="117"/>
      <c r="D4" s="117"/>
      <c r="E4" s="117"/>
      <c r="F4" s="117"/>
      <c r="G4" s="117"/>
      <c r="H4" s="117"/>
      <c r="I4" s="118" t="s">
        <v>113</v>
      </c>
      <c r="J4" s="117"/>
    </row>
    <row r="5" spans="2:11" ht="15" x14ac:dyDescent="0.25">
      <c r="B5" s="117" t="s">
        <v>114</v>
      </c>
      <c r="C5" s="117"/>
      <c r="D5" s="117"/>
      <c r="E5" s="117"/>
      <c r="F5" s="117"/>
      <c r="G5" s="117"/>
      <c r="H5" s="115"/>
      <c r="I5" s="115"/>
      <c r="J5" s="115"/>
    </row>
    <row r="6" spans="2:11" ht="15" x14ac:dyDescent="0.25">
      <c r="B6" s="119" t="s">
        <v>61</v>
      </c>
      <c r="C6" s="119"/>
      <c r="D6" s="119" t="s">
        <v>115</v>
      </c>
      <c r="E6" s="119"/>
      <c r="F6" s="119" t="s">
        <v>116</v>
      </c>
      <c r="G6" s="119"/>
      <c r="H6" s="119">
        <v>1</v>
      </c>
      <c r="I6" s="120">
        <v>2</v>
      </c>
      <c r="J6" s="119">
        <v>3</v>
      </c>
    </row>
    <row r="7" spans="2:11" ht="15" x14ac:dyDescent="0.25">
      <c r="D7" s="121"/>
      <c r="F7" s="121"/>
      <c r="H7" s="121"/>
      <c r="I7" s="121"/>
      <c r="J7" s="121"/>
    </row>
    <row r="8" spans="2:11" ht="15" x14ac:dyDescent="0.25">
      <c r="B8" s="2">
        <v>20</v>
      </c>
      <c r="D8" s="121"/>
      <c r="F8" s="121"/>
      <c r="G8" s="2">
        <v>20</v>
      </c>
      <c r="H8" s="121">
        <v>164.79</v>
      </c>
      <c r="I8" s="121">
        <v>181.11</v>
      </c>
      <c r="J8" s="121">
        <v>198.02</v>
      </c>
      <c r="K8" s="81" t="s">
        <v>111</v>
      </c>
    </row>
    <row r="9" spans="2:11" ht="15" x14ac:dyDescent="0.25">
      <c r="B9" s="2">
        <v>20</v>
      </c>
      <c r="C9" s="2"/>
      <c r="D9" s="122"/>
      <c r="E9" s="2"/>
      <c r="F9" s="122"/>
      <c r="G9" s="2">
        <v>20</v>
      </c>
      <c r="H9" s="122">
        <v>4676200</v>
      </c>
      <c r="I9" s="122">
        <v>5871400</v>
      </c>
      <c r="J9" s="122">
        <v>7172900</v>
      </c>
      <c r="K9" s="81" t="s">
        <v>110</v>
      </c>
    </row>
    <row r="10" spans="2:11" ht="15" x14ac:dyDescent="0.25">
      <c r="B10" s="2"/>
      <c r="D10" s="121"/>
      <c r="F10" s="121"/>
      <c r="G10" s="2"/>
      <c r="H10" s="121"/>
      <c r="I10" s="121"/>
      <c r="J10" s="121"/>
    </row>
    <row r="11" spans="2:11" ht="15" x14ac:dyDescent="0.25">
      <c r="B11" s="2">
        <v>50</v>
      </c>
      <c r="D11" s="121"/>
      <c r="F11" s="121"/>
      <c r="G11" s="2">
        <v>50</v>
      </c>
      <c r="H11" s="121">
        <v>95.98</v>
      </c>
      <c r="I11" s="121">
        <v>103.39</v>
      </c>
      <c r="J11" s="123">
        <v>110.7</v>
      </c>
      <c r="K11" s="81" t="s">
        <v>111</v>
      </c>
    </row>
    <row r="12" spans="2:11" ht="15" x14ac:dyDescent="0.25">
      <c r="B12" s="2">
        <v>50</v>
      </c>
      <c r="C12" s="2"/>
      <c r="D12" s="122"/>
      <c r="E12" s="2"/>
      <c r="F12" s="122"/>
      <c r="G12" s="2">
        <v>50</v>
      </c>
      <c r="H12" s="122">
        <v>6166500</v>
      </c>
      <c r="I12" s="122">
        <v>8665200</v>
      </c>
      <c r="J12" s="122">
        <v>10213800</v>
      </c>
      <c r="K12" s="81" t="s">
        <v>110</v>
      </c>
    </row>
    <row r="13" spans="2:11" ht="15" x14ac:dyDescent="0.25">
      <c r="B13" s="2"/>
      <c r="D13" s="121"/>
      <c r="F13" s="121"/>
      <c r="G13" s="2"/>
      <c r="H13" s="121"/>
      <c r="I13" s="121"/>
      <c r="J13" s="121"/>
    </row>
    <row r="14" spans="2:11" ht="15" x14ac:dyDescent="0.25">
      <c r="B14" s="2">
        <v>100</v>
      </c>
      <c r="D14" s="121"/>
      <c r="F14" s="121"/>
      <c r="G14" s="2">
        <v>100</v>
      </c>
      <c r="H14" s="121">
        <v>68.510000000000005</v>
      </c>
      <c r="I14" s="121">
        <v>72.52</v>
      </c>
      <c r="J14" s="121">
        <v>77.08</v>
      </c>
      <c r="K14" s="81" t="s">
        <v>111</v>
      </c>
    </row>
    <row r="15" spans="2:11" ht="15" x14ac:dyDescent="0.25">
      <c r="B15" s="2">
        <v>100</v>
      </c>
      <c r="C15" s="2"/>
      <c r="D15" s="122"/>
      <c r="E15" s="2"/>
      <c r="F15" s="122"/>
      <c r="G15" s="2">
        <v>100</v>
      </c>
      <c r="H15" s="122">
        <v>9507400</v>
      </c>
      <c r="I15" s="122">
        <v>12334700</v>
      </c>
      <c r="J15" s="122">
        <v>15376500</v>
      </c>
      <c r="K15" s="81" t="s">
        <v>110</v>
      </c>
    </row>
    <row r="16" spans="2:11" ht="15" x14ac:dyDescent="0.25">
      <c r="B16" s="2"/>
      <c r="D16" s="121"/>
      <c r="F16" s="121"/>
      <c r="G16" s="2"/>
      <c r="H16" s="121"/>
      <c r="I16" s="121"/>
    </row>
    <row r="17" spans="2:11" ht="15" x14ac:dyDescent="0.25">
      <c r="B17" s="2">
        <v>500</v>
      </c>
      <c r="D17" s="121">
        <v>35.24</v>
      </c>
      <c r="F17" s="121">
        <v>41.61</v>
      </c>
      <c r="G17" s="2">
        <v>500</v>
      </c>
      <c r="H17" s="121">
        <v>25.56</v>
      </c>
      <c r="I17" s="121">
        <v>28.71</v>
      </c>
      <c r="J17" s="121">
        <v>31.32</v>
      </c>
      <c r="K17" s="81" t="s">
        <v>111</v>
      </c>
    </row>
    <row r="18" spans="2:11" ht="15" x14ac:dyDescent="0.25">
      <c r="B18" s="2">
        <v>500</v>
      </c>
      <c r="C18" s="2"/>
      <c r="D18" s="122">
        <v>17475900</v>
      </c>
      <c r="E18" s="2"/>
      <c r="F18" s="122">
        <v>18971500</v>
      </c>
      <c r="G18" s="2">
        <v>500</v>
      </c>
      <c r="H18" s="122">
        <v>16255700</v>
      </c>
      <c r="I18" s="122">
        <v>21056400</v>
      </c>
      <c r="J18" s="122">
        <v>25295600</v>
      </c>
      <c r="K18" s="81" t="s">
        <v>110</v>
      </c>
    </row>
    <row r="19" spans="2:11" ht="15" x14ac:dyDescent="0.25">
      <c r="B19" s="2"/>
      <c r="D19" s="121"/>
      <c r="F19" s="121"/>
      <c r="G19" s="2"/>
      <c r="H19" s="121"/>
      <c r="I19" s="121"/>
      <c r="J19" s="121"/>
    </row>
    <row r="20" spans="2:11" ht="15" x14ac:dyDescent="0.25">
      <c r="B20" s="2">
        <v>1000</v>
      </c>
      <c r="D20" s="121">
        <v>27.08</v>
      </c>
      <c r="F20" s="121">
        <v>32.57</v>
      </c>
      <c r="G20" s="2">
        <v>1000</v>
      </c>
      <c r="H20" s="121">
        <v>19.36</v>
      </c>
      <c r="I20" s="121">
        <v>21.87</v>
      </c>
      <c r="J20" s="121">
        <v>23.42</v>
      </c>
      <c r="K20" s="81" t="s">
        <v>111</v>
      </c>
    </row>
    <row r="21" spans="2:11" ht="15" x14ac:dyDescent="0.25">
      <c r="B21" s="2">
        <v>1000</v>
      </c>
      <c r="C21" s="2"/>
      <c r="D21" s="122">
        <v>27160100</v>
      </c>
      <c r="E21" s="2"/>
      <c r="F21" s="122">
        <v>31346800</v>
      </c>
      <c r="G21" s="2">
        <v>1000</v>
      </c>
      <c r="H21" s="122">
        <v>22413700</v>
      </c>
      <c r="I21" s="122">
        <v>28682300</v>
      </c>
      <c r="J21" s="122">
        <v>33575800</v>
      </c>
      <c r="K21" s="81" t="s">
        <v>110</v>
      </c>
    </row>
    <row r="22" spans="2:11" ht="15" x14ac:dyDescent="0.25">
      <c r="B22" s="2"/>
      <c r="D22" s="121"/>
      <c r="F22" s="121"/>
      <c r="G22" s="2"/>
      <c r="H22" s="121"/>
      <c r="I22" s="121"/>
      <c r="J22" s="121"/>
    </row>
    <row r="23" spans="2:11" ht="15" x14ac:dyDescent="0.25">
      <c r="B23" s="2">
        <v>2000</v>
      </c>
      <c r="D23" s="121">
        <v>20.79</v>
      </c>
      <c r="F23" s="121">
        <v>25.29</v>
      </c>
      <c r="G23" s="2">
        <v>2000</v>
      </c>
      <c r="H23" s="123">
        <v>15.2</v>
      </c>
      <c r="I23" s="121">
        <v>16.93</v>
      </c>
      <c r="J23" s="121">
        <v>18.25</v>
      </c>
      <c r="K23" s="81" t="s">
        <v>111</v>
      </c>
    </row>
    <row r="24" spans="2:11" ht="15" x14ac:dyDescent="0.25">
      <c r="B24" s="2">
        <v>2000</v>
      </c>
      <c r="C24" s="2"/>
      <c r="D24" s="122">
        <v>42850300</v>
      </c>
      <c r="E24" s="2"/>
      <c r="F24" s="122">
        <v>52532900</v>
      </c>
      <c r="G24" s="2">
        <v>2000</v>
      </c>
      <c r="H24" s="122">
        <v>31712200</v>
      </c>
      <c r="I24" s="122">
        <v>37904600</v>
      </c>
      <c r="J24" s="122">
        <v>45508100</v>
      </c>
      <c r="K24" s="81" t="s">
        <v>110</v>
      </c>
    </row>
    <row r="25" spans="2:11" ht="15" x14ac:dyDescent="0.25">
      <c r="B25" s="2"/>
      <c r="D25" s="121"/>
      <c r="F25" s="121"/>
      <c r="G25" s="2"/>
      <c r="H25" s="121"/>
      <c r="I25" s="121"/>
      <c r="J25" s="121"/>
    </row>
    <row r="26" spans="2:11" ht="15" x14ac:dyDescent="0.25">
      <c r="B26" s="2">
        <v>5000</v>
      </c>
      <c r="D26" s="121">
        <v>15.82</v>
      </c>
      <c r="F26" s="121">
        <v>19.16</v>
      </c>
      <c r="G26" s="2">
        <v>5000</v>
      </c>
      <c r="H26" s="121">
        <v>12.09</v>
      </c>
      <c r="I26" s="123">
        <v>13.4</v>
      </c>
      <c r="J26" s="121">
        <v>14.18</v>
      </c>
      <c r="K26" s="81" t="s">
        <v>111</v>
      </c>
    </row>
    <row r="27" spans="2:11" ht="15" x14ac:dyDescent="0.25">
      <c r="B27" s="2">
        <v>5000</v>
      </c>
      <c r="C27" s="2"/>
      <c r="D27" s="122">
        <v>80151500</v>
      </c>
      <c r="E27" s="2"/>
      <c r="F27" s="122">
        <v>106127300</v>
      </c>
      <c r="G27" s="2">
        <v>5000</v>
      </c>
      <c r="H27" s="122">
        <v>53148100</v>
      </c>
      <c r="I27" s="122">
        <v>60627100</v>
      </c>
      <c r="J27" s="122">
        <v>68357900</v>
      </c>
      <c r="K27" s="81" t="s">
        <v>110</v>
      </c>
    </row>
    <row r="28" spans="2:11" ht="15" x14ac:dyDescent="0.25">
      <c r="B28" s="2"/>
      <c r="D28" s="121"/>
      <c r="F28" s="121"/>
      <c r="G28" s="2"/>
      <c r="H28" s="121"/>
      <c r="I28" s="121"/>
      <c r="J28" s="121"/>
    </row>
    <row r="29" spans="2:11" ht="15" x14ac:dyDescent="0.25">
      <c r="B29" s="2">
        <v>10000</v>
      </c>
      <c r="D29" s="121"/>
      <c r="F29" s="121"/>
      <c r="G29" s="2">
        <v>10000</v>
      </c>
      <c r="H29" s="121">
        <v>10.49</v>
      </c>
      <c r="I29" s="123">
        <v>11.7</v>
      </c>
      <c r="J29" s="123">
        <v>12.3</v>
      </c>
      <c r="K29" s="81" t="s">
        <v>111</v>
      </c>
    </row>
    <row r="30" spans="2:11" ht="15" x14ac:dyDescent="0.25">
      <c r="B30" s="2">
        <v>10000</v>
      </c>
      <c r="C30" s="2"/>
      <c r="D30" s="122"/>
      <c r="E30" s="2"/>
      <c r="F30" s="122"/>
      <c r="G30" s="2">
        <v>10000</v>
      </c>
      <c r="H30" s="122">
        <v>91935500</v>
      </c>
      <c r="I30" s="122">
        <v>102577100</v>
      </c>
      <c r="J30" s="122">
        <v>110751800</v>
      </c>
      <c r="K30" s="81" t="s">
        <v>110</v>
      </c>
    </row>
    <row r="31" spans="2:11" ht="15" x14ac:dyDescent="0.25">
      <c r="B31" s="2"/>
      <c r="D31" s="121"/>
      <c r="F31" s="121"/>
      <c r="G31" s="2"/>
      <c r="H31" s="121"/>
      <c r="I31" s="121"/>
      <c r="J31" s="121"/>
    </row>
    <row r="32" spans="2:11" ht="15" x14ac:dyDescent="0.25">
      <c r="B32" s="2">
        <v>20000</v>
      </c>
      <c r="D32" s="121"/>
      <c r="F32" s="121"/>
      <c r="G32" s="2">
        <v>20000</v>
      </c>
      <c r="H32" s="121">
        <v>9.3800000000000008</v>
      </c>
      <c r="I32" s="121">
        <v>10.48</v>
      </c>
      <c r="J32" s="123">
        <v>11</v>
      </c>
      <c r="K32" s="81" t="s">
        <v>111</v>
      </c>
    </row>
    <row r="33" spans="1:11" ht="15" x14ac:dyDescent="0.25">
      <c r="B33" s="2">
        <v>20000</v>
      </c>
      <c r="C33" s="2"/>
      <c r="D33" s="122"/>
      <c r="E33" s="2"/>
      <c r="F33" s="122"/>
      <c r="G33" s="2">
        <v>20000</v>
      </c>
      <c r="H33" s="122">
        <v>170151400</v>
      </c>
      <c r="I33" s="122">
        <v>184518900</v>
      </c>
      <c r="J33" s="122">
        <v>198071000</v>
      </c>
      <c r="K33" s="81" t="s">
        <v>110</v>
      </c>
    </row>
    <row r="34" spans="1:11" ht="15" x14ac:dyDescent="0.25">
      <c r="B34" s="2"/>
      <c r="D34" s="121"/>
      <c r="F34" s="121"/>
      <c r="G34" s="2"/>
      <c r="H34" s="121"/>
      <c r="I34" s="121"/>
      <c r="J34" s="121"/>
    </row>
    <row r="35" spans="1:11" ht="15" x14ac:dyDescent="0.25">
      <c r="B35" s="2">
        <v>40000</v>
      </c>
      <c r="D35" s="121"/>
      <c r="F35" s="121"/>
      <c r="G35" s="2">
        <v>40000</v>
      </c>
      <c r="H35" s="123">
        <v>8.8000000000000007</v>
      </c>
      <c r="I35" s="121">
        <v>9.86</v>
      </c>
      <c r="J35" s="123">
        <v>10.3</v>
      </c>
      <c r="K35" s="81" t="s">
        <v>111</v>
      </c>
    </row>
    <row r="36" spans="1:11" ht="15" x14ac:dyDescent="0.25">
      <c r="B36" s="2">
        <v>40000</v>
      </c>
      <c r="C36" s="2"/>
      <c r="D36" s="122"/>
      <c r="E36" s="2"/>
      <c r="F36" s="122"/>
      <c r="G36" s="2">
        <v>40000</v>
      </c>
      <c r="H36" s="122">
        <v>335294400</v>
      </c>
      <c r="I36" s="122">
        <v>357815300</v>
      </c>
      <c r="J36" s="122">
        <v>379530700</v>
      </c>
      <c r="K36" s="81" t="s">
        <v>110</v>
      </c>
    </row>
    <row r="37" spans="1:11" ht="15" x14ac:dyDescent="0.25">
      <c r="B37" s="2"/>
      <c r="D37" s="121"/>
      <c r="F37" s="121"/>
      <c r="G37" s="2"/>
      <c r="H37" s="121"/>
      <c r="I37" s="121"/>
      <c r="J37" s="121"/>
    </row>
    <row r="38" spans="1:11" ht="15" x14ac:dyDescent="0.25">
      <c r="B38" s="2">
        <v>80000</v>
      </c>
      <c r="D38" s="121"/>
      <c r="F38" s="121"/>
      <c r="G38" s="2">
        <v>80000</v>
      </c>
      <c r="H38" s="121">
        <v>8.61</v>
      </c>
      <c r="I38" s="121">
        <v>9.65</v>
      </c>
      <c r="J38" s="121">
        <v>10.07</v>
      </c>
      <c r="K38" s="81" t="s">
        <v>111</v>
      </c>
    </row>
    <row r="39" spans="1:11" ht="15" x14ac:dyDescent="0.25">
      <c r="B39" s="2">
        <v>80000</v>
      </c>
      <c r="C39" s="2"/>
      <c r="D39" s="122"/>
      <c r="E39" s="2"/>
      <c r="F39" s="122"/>
      <c r="G39" s="2">
        <v>80000</v>
      </c>
      <c r="H39" s="122">
        <v>622550600</v>
      </c>
      <c r="I39" s="122">
        <v>666942800</v>
      </c>
      <c r="J39" s="122">
        <v>704571100</v>
      </c>
      <c r="K39" s="81" t="s">
        <v>110</v>
      </c>
    </row>
    <row r="44" spans="1:11" ht="18.75" x14ac:dyDescent="0.3">
      <c r="A44" s="124" t="s">
        <v>117</v>
      </c>
    </row>
    <row r="45" spans="1:11" ht="15.75" x14ac:dyDescent="0.25">
      <c r="A45" s="125" t="s">
        <v>62</v>
      </c>
      <c r="G45" s="125" t="s">
        <v>63</v>
      </c>
    </row>
    <row r="46" spans="1:11" x14ac:dyDescent="0.2">
      <c r="A46" s="81" t="s">
        <v>118</v>
      </c>
    </row>
    <row r="47" spans="1:11" x14ac:dyDescent="0.2">
      <c r="A47" s="81" t="s">
        <v>54</v>
      </c>
      <c r="C47" s="81" t="s">
        <v>119</v>
      </c>
      <c r="D47" s="81" t="s">
        <v>64</v>
      </c>
      <c r="E47" s="81" t="s">
        <v>65</v>
      </c>
      <c r="G47" s="126" t="s">
        <v>120</v>
      </c>
      <c r="I47" s="81" t="s">
        <v>121</v>
      </c>
      <c r="J47" s="81" t="s">
        <v>122</v>
      </c>
      <c r="K47" s="127" t="s">
        <v>123</v>
      </c>
    </row>
    <row r="49" spans="1:12" x14ac:dyDescent="0.2">
      <c r="A49" s="2">
        <v>2500</v>
      </c>
      <c r="C49" s="81">
        <v>4.37</v>
      </c>
      <c r="D49" s="81">
        <v>5.37</v>
      </c>
      <c r="E49" s="81">
        <v>6.6</v>
      </c>
      <c r="G49" s="81">
        <v>5.34</v>
      </c>
      <c r="I49" s="81">
        <f t="shared" ref="I49:K50" si="0">$F49+C49</f>
        <v>4.37</v>
      </c>
      <c r="J49" s="81">
        <f t="shared" si="0"/>
        <v>5.37</v>
      </c>
      <c r="K49" s="81">
        <f t="shared" si="0"/>
        <v>6.6</v>
      </c>
      <c r="L49" s="81" t="s">
        <v>111</v>
      </c>
    </row>
    <row r="50" spans="1:12" x14ac:dyDescent="0.2">
      <c r="A50" s="2"/>
      <c r="C50" s="2">
        <v>1856300</v>
      </c>
      <c r="D50" s="2">
        <v>3828900</v>
      </c>
      <c r="E50" s="2">
        <v>4821000</v>
      </c>
      <c r="G50" s="2">
        <v>3000000</v>
      </c>
      <c r="I50" s="2">
        <f t="shared" si="0"/>
        <v>1856300</v>
      </c>
      <c r="J50" s="2">
        <f t="shared" si="0"/>
        <v>3828900</v>
      </c>
      <c r="K50" s="2">
        <f t="shared" si="0"/>
        <v>4821000</v>
      </c>
      <c r="L50" s="81" t="s">
        <v>110</v>
      </c>
    </row>
    <row r="51" spans="1:12" x14ac:dyDescent="0.2">
      <c r="A51" s="2"/>
    </row>
    <row r="52" spans="1:12" x14ac:dyDescent="0.2">
      <c r="A52" s="2">
        <v>15000</v>
      </c>
      <c r="C52" s="81">
        <v>1.89</v>
      </c>
      <c r="D52" s="81">
        <v>2.39</v>
      </c>
      <c r="E52" s="81">
        <v>3.77</v>
      </c>
      <c r="G52" s="81">
        <v>2.65</v>
      </c>
      <c r="I52" s="81">
        <f t="shared" ref="I52:K53" si="1">$F52+C52</f>
        <v>1.89</v>
      </c>
      <c r="J52" s="81">
        <f t="shared" si="1"/>
        <v>2.39</v>
      </c>
      <c r="K52" s="81">
        <f t="shared" si="1"/>
        <v>3.77</v>
      </c>
      <c r="L52" s="81" t="s">
        <v>111</v>
      </c>
    </row>
    <row r="53" spans="1:12" x14ac:dyDescent="0.2">
      <c r="A53" s="2"/>
      <c r="C53" s="2">
        <v>6622700</v>
      </c>
      <c r="D53" s="2">
        <v>14489100</v>
      </c>
      <c r="E53" s="2">
        <v>22069200</v>
      </c>
      <c r="G53" s="2">
        <v>8000000</v>
      </c>
      <c r="I53" s="2">
        <f t="shared" si="1"/>
        <v>6622700</v>
      </c>
      <c r="J53" s="2">
        <f t="shared" si="1"/>
        <v>14489100</v>
      </c>
      <c r="K53" s="2">
        <f t="shared" si="1"/>
        <v>22069200</v>
      </c>
      <c r="L53" s="81" t="s">
        <v>110</v>
      </c>
    </row>
    <row r="54" spans="1:12" x14ac:dyDescent="0.2">
      <c r="A54" s="2"/>
    </row>
    <row r="55" spans="1:12" x14ac:dyDescent="0.2">
      <c r="A55" s="2">
        <v>60000</v>
      </c>
      <c r="C55" s="81">
        <v>1.04</v>
      </c>
      <c r="D55" s="81">
        <v>1.05</v>
      </c>
      <c r="E55" s="81">
        <v>2.4500000000000002</v>
      </c>
      <c r="G55" s="81">
        <v>1.97</v>
      </c>
      <c r="I55" s="81">
        <f t="shared" ref="I55:K56" si="2">$F55+C55</f>
        <v>1.04</v>
      </c>
      <c r="J55" s="81">
        <f t="shared" si="2"/>
        <v>1.05</v>
      </c>
      <c r="K55" s="81">
        <f t="shared" si="2"/>
        <v>2.4500000000000002</v>
      </c>
      <c r="L55" s="81" t="s">
        <v>111</v>
      </c>
    </row>
    <row r="56" spans="1:12" x14ac:dyDescent="0.2">
      <c r="A56" s="2"/>
      <c r="C56" s="2">
        <v>72402100</v>
      </c>
      <c r="D56" s="2">
        <v>72600200</v>
      </c>
      <c r="E56" s="2">
        <v>103340200</v>
      </c>
      <c r="G56" s="2">
        <v>20000000</v>
      </c>
      <c r="I56" s="2">
        <f t="shared" si="2"/>
        <v>72402100</v>
      </c>
      <c r="J56" s="2">
        <f t="shared" si="2"/>
        <v>72600200</v>
      </c>
      <c r="K56" s="2">
        <f t="shared" si="2"/>
        <v>103340200</v>
      </c>
      <c r="L56" s="81" t="s">
        <v>110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5.7109375" customWidth="1"/>
    <col min="2" max="2" width="13.5703125" bestFit="1" customWidth="1"/>
    <col min="3" max="3" width="11.42578125" customWidth="1"/>
    <col min="4" max="4" width="17.42578125" bestFit="1" customWidth="1"/>
    <col min="5" max="5" width="20" customWidth="1"/>
    <col min="6" max="7" width="11.42578125" customWidth="1"/>
    <col min="8" max="8" width="13.7109375" customWidth="1"/>
    <col min="9" max="9" width="11.42578125" customWidth="1"/>
    <col min="10" max="12" width="5.5703125" customWidth="1"/>
    <col min="13" max="17" width="4.5703125" customWidth="1"/>
  </cols>
  <sheetData>
    <row r="1" spans="1:19" ht="63.75" customHeight="1" x14ac:dyDescent="0.2">
      <c r="A1" s="179"/>
      <c r="B1" s="179"/>
      <c r="C1" s="179"/>
    </row>
    <row r="2" spans="1:19" ht="15.75" x14ac:dyDescent="0.25">
      <c r="B2" s="131" t="s">
        <v>108</v>
      </c>
    </row>
    <row r="4" spans="1:19" ht="14.25" x14ac:dyDescent="0.2">
      <c r="B4" s="132" t="s">
        <v>66</v>
      </c>
    </row>
    <row r="6" spans="1:19" x14ac:dyDescent="0.2">
      <c r="B6" s="133" t="s">
        <v>48</v>
      </c>
      <c r="C6" s="133" t="s">
        <v>105</v>
      </c>
      <c r="D6" s="133" t="s">
        <v>106</v>
      </c>
      <c r="E6" s="133" t="s">
        <v>49</v>
      </c>
      <c r="F6" s="133" t="s">
        <v>50</v>
      </c>
      <c r="G6" s="133" t="s">
        <v>107</v>
      </c>
      <c r="H6" s="65"/>
    </row>
    <row r="7" spans="1:19" x14ac:dyDescent="0.2">
      <c r="B7" s="134"/>
      <c r="C7" s="134"/>
      <c r="D7" s="134"/>
      <c r="E7" s="134" t="s">
        <v>51</v>
      </c>
      <c r="F7" s="134"/>
      <c r="G7" s="134"/>
      <c r="H7" s="67"/>
      <c r="J7" s="135"/>
      <c r="K7" s="135"/>
      <c r="R7" s="136"/>
    </row>
    <row r="8" spans="1:19" x14ac:dyDescent="0.2">
      <c r="B8" s="65" t="s">
        <v>67</v>
      </c>
      <c r="C8" s="66">
        <v>2.2999999999999998</v>
      </c>
      <c r="D8" s="65">
        <v>22.045999999999999</v>
      </c>
      <c r="E8" s="65">
        <v>0.65</v>
      </c>
      <c r="F8" s="65">
        <v>0.85</v>
      </c>
      <c r="G8" s="65">
        <v>3</v>
      </c>
      <c r="H8" s="66">
        <f>C8*D8*E8*F8*G8</f>
        <v>84.044863500000005</v>
      </c>
      <c r="J8" s="135"/>
      <c r="K8" s="135"/>
      <c r="R8" s="136"/>
    </row>
    <row r="9" spans="1:19" x14ac:dyDescent="0.2">
      <c r="B9" s="65" t="s">
        <v>103</v>
      </c>
      <c r="C9" s="137"/>
      <c r="D9" s="138"/>
      <c r="E9" s="138"/>
      <c r="F9" s="138"/>
      <c r="G9" s="139"/>
      <c r="H9" s="66"/>
      <c r="J9" s="140"/>
      <c r="K9" s="140"/>
      <c r="R9" s="136"/>
      <c r="S9" s="135"/>
    </row>
    <row r="10" spans="1:19" x14ac:dyDescent="0.2">
      <c r="B10" s="141" t="s">
        <v>104</v>
      </c>
      <c r="C10" s="142"/>
      <c r="D10" s="143"/>
      <c r="E10" s="143"/>
      <c r="F10" s="143"/>
      <c r="G10" s="144"/>
      <c r="H10" s="72"/>
    </row>
    <row r="11" spans="1:19" x14ac:dyDescent="0.2">
      <c r="B11" s="67" t="s">
        <v>68</v>
      </c>
      <c r="C11" s="142"/>
      <c r="D11" s="143"/>
      <c r="E11" s="143"/>
      <c r="F11" s="143"/>
      <c r="G11" s="144"/>
      <c r="H11" s="145"/>
    </row>
    <row r="12" spans="1:19" x14ac:dyDescent="0.2">
      <c r="B12" s="78"/>
      <c r="C12" s="78"/>
      <c r="D12" s="78"/>
      <c r="E12" s="78"/>
      <c r="F12" s="78"/>
      <c r="G12" s="78"/>
      <c r="H12" s="79"/>
    </row>
    <row r="13" spans="1:19" ht="14.25" x14ac:dyDescent="0.2">
      <c r="B13" s="132" t="s">
        <v>69</v>
      </c>
      <c r="C13" s="81"/>
    </row>
    <row r="15" spans="1:19" x14ac:dyDescent="0.2">
      <c r="B15" s="59" t="s">
        <v>48</v>
      </c>
      <c r="C15" s="59" t="s">
        <v>105</v>
      </c>
      <c r="D15" s="59" t="s">
        <v>106</v>
      </c>
      <c r="E15" s="59" t="s">
        <v>49</v>
      </c>
      <c r="F15" s="59" t="s">
        <v>50</v>
      </c>
      <c r="G15" s="59" t="s">
        <v>107</v>
      </c>
      <c r="H15" s="59"/>
    </row>
    <row r="16" spans="1:19" x14ac:dyDescent="0.2">
      <c r="B16" s="60"/>
      <c r="C16" s="60"/>
      <c r="D16" s="60"/>
      <c r="E16" s="60" t="s">
        <v>51</v>
      </c>
      <c r="F16" s="60"/>
      <c r="G16" s="60"/>
      <c r="H16" s="60"/>
    </row>
    <row r="17" spans="1:8" x14ac:dyDescent="0.2">
      <c r="B17" s="61" t="s">
        <v>52</v>
      </c>
      <c r="C17" s="146">
        <v>0.5</v>
      </c>
      <c r="D17" s="63">
        <v>22.045999999999999</v>
      </c>
      <c r="E17" s="64">
        <v>0.65</v>
      </c>
      <c r="F17" s="64">
        <v>0.85</v>
      </c>
      <c r="G17" s="65"/>
      <c r="H17" s="66"/>
    </row>
    <row r="18" spans="1:8" x14ac:dyDescent="0.2">
      <c r="B18" s="67" t="s">
        <v>53</v>
      </c>
      <c r="C18" s="147">
        <v>0.01</v>
      </c>
      <c r="D18" s="69">
        <v>1</v>
      </c>
      <c r="E18" s="70">
        <v>0.95</v>
      </c>
      <c r="F18" s="71">
        <v>0.8</v>
      </c>
      <c r="G18" s="148"/>
      <c r="H18" s="72"/>
    </row>
    <row r="19" spans="1:8" x14ac:dyDescent="0.2">
      <c r="B19" s="149" t="s">
        <v>103</v>
      </c>
      <c r="C19" s="149"/>
      <c r="D19" s="150"/>
      <c r="E19" s="150"/>
      <c r="F19" s="150"/>
      <c r="G19" s="150"/>
      <c r="H19" s="66"/>
    </row>
    <row r="20" spans="1:8" x14ac:dyDescent="0.2">
      <c r="B20" s="151" t="s">
        <v>104</v>
      </c>
      <c r="C20" s="152"/>
      <c r="D20" s="73"/>
      <c r="E20" s="73"/>
      <c r="F20" s="73"/>
      <c r="G20" s="73"/>
      <c r="H20" s="153"/>
    </row>
    <row r="21" spans="1:8" x14ac:dyDescent="0.2">
      <c r="B21" s="154" t="s">
        <v>68</v>
      </c>
      <c r="C21" s="74"/>
      <c r="D21" s="75"/>
      <c r="E21" s="75"/>
      <c r="F21" s="75"/>
      <c r="G21" s="75"/>
      <c r="H21" s="155"/>
    </row>
    <row r="22" spans="1:8" x14ac:dyDescent="0.2">
      <c r="B22" s="78"/>
      <c r="C22" s="73"/>
      <c r="D22" s="73"/>
      <c r="E22" s="73"/>
      <c r="F22" s="73"/>
      <c r="G22" s="73"/>
      <c r="H22" s="156"/>
    </row>
    <row r="23" spans="1:8" ht="14.25" x14ac:dyDescent="0.2">
      <c r="B23" s="157" t="s">
        <v>70</v>
      </c>
      <c r="C23" s="78"/>
      <c r="D23" s="73"/>
      <c r="E23" s="73"/>
      <c r="F23" s="73"/>
      <c r="G23" s="73"/>
      <c r="H23" s="79"/>
    </row>
    <row r="25" spans="1:8" x14ac:dyDescent="0.2">
      <c r="B25" s="59" t="s">
        <v>48</v>
      </c>
      <c r="C25" s="59" t="s">
        <v>105</v>
      </c>
      <c r="D25" s="59" t="s">
        <v>106</v>
      </c>
      <c r="E25" s="59" t="s">
        <v>49</v>
      </c>
      <c r="F25" s="59" t="s">
        <v>50</v>
      </c>
      <c r="G25" s="59" t="s">
        <v>107</v>
      </c>
      <c r="H25" s="59"/>
    </row>
    <row r="26" spans="1:8" x14ac:dyDescent="0.2">
      <c r="B26" s="60"/>
      <c r="C26" s="60"/>
      <c r="D26" s="60"/>
      <c r="E26" s="60" t="s">
        <v>51</v>
      </c>
      <c r="F26" s="60"/>
      <c r="G26" s="60"/>
      <c r="H26" s="60"/>
    </row>
    <row r="27" spans="1:8" x14ac:dyDescent="0.2">
      <c r="B27" s="61" t="s">
        <v>52</v>
      </c>
      <c r="C27" s="146">
        <v>1.7</v>
      </c>
      <c r="D27" s="63">
        <v>22.045999999999999</v>
      </c>
      <c r="E27" s="64">
        <v>0.65</v>
      </c>
      <c r="F27" s="64">
        <v>0.85</v>
      </c>
      <c r="G27" s="65">
        <v>1.9</v>
      </c>
      <c r="H27" s="158"/>
    </row>
    <row r="28" spans="1:8" x14ac:dyDescent="0.2">
      <c r="B28" s="149" t="s">
        <v>103</v>
      </c>
      <c r="C28" s="149"/>
      <c r="D28" s="150"/>
      <c r="E28" s="150"/>
      <c r="F28" s="150"/>
      <c r="G28" s="150"/>
      <c r="H28" s="66"/>
    </row>
    <row r="29" spans="1:8" x14ac:dyDescent="0.2">
      <c r="B29" s="141" t="s">
        <v>104</v>
      </c>
      <c r="C29" s="159"/>
      <c r="D29" s="160"/>
      <c r="E29" s="160"/>
      <c r="F29" s="160"/>
      <c r="G29" s="160"/>
      <c r="H29" s="153"/>
    </row>
    <row r="30" spans="1:8" x14ac:dyDescent="0.2">
      <c r="B30" s="142" t="s">
        <v>68</v>
      </c>
      <c r="C30" s="159"/>
      <c r="D30" s="160"/>
      <c r="E30" s="160"/>
      <c r="F30" s="160"/>
      <c r="G30" s="160"/>
      <c r="H30" s="161"/>
    </row>
    <row r="31" spans="1:8" x14ac:dyDescent="0.2">
      <c r="B31" s="78"/>
      <c r="C31" s="78"/>
      <c r="D31" s="78"/>
      <c r="E31" s="78"/>
      <c r="F31" s="78"/>
      <c r="G31" s="78"/>
      <c r="H31" s="79"/>
    </row>
    <row r="32" spans="1:8" ht="14.25" x14ac:dyDescent="0.2">
      <c r="A32" s="81"/>
      <c r="B32" s="132" t="s">
        <v>71</v>
      </c>
      <c r="C32" s="81"/>
      <c r="D32" s="81"/>
      <c r="E32" s="81"/>
      <c r="F32" s="81"/>
      <c r="G32" s="81"/>
      <c r="H32" s="81"/>
    </row>
    <row r="33" spans="2:18" x14ac:dyDescent="0.2">
      <c r="B33" s="81"/>
      <c r="C33" s="81"/>
      <c r="D33" s="81"/>
      <c r="E33" s="81"/>
      <c r="F33" s="81"/>
      <c r="G33" s="81"/>
      <c r="H33" s="81"/>
    </row>
    <row r="34" spans="2:18" x14ac:dyDescent="0.2">
      <c r="B34" s="162" t="s">
        <v>48</v>
      </c>
      <c r="C34" s="133" t="s">
        <v>105</v>
      </c>
      <c r="D34" s="133" t="s">
        <v>106</v>
      </c>
      <c r="E34" s="133" t="s">
        <v>49</v>
      </c>
      <c r="F34" s="133" t="s">
        <v>50</v>
      </c>
      <c r="G34" s="162" t="s">
        <v>107</v>
      </c>
      <c r="H34" s="133"/>
    </row>
    <row r="35" spans="2:18" x14ac:dyDescent="0.2">
      <c r="B35" s="142"/>
      <c r="C35" s="67"/>
      <c r="D35" s="67"/>
      <c r="E35" s="134" t="s">
        <v>51</v>
      </c>
      <c r="F35" s="67"/>
      <c r="G35" s="142"/>
      <c r="H35" s="67"/>
    </row>
    <row r="36" spans="2:18" x14ac:dyDescent="0.2">
      <c r="B36" s="163" t="s">
        <v>72</v>
      </c>
      <c r="C36" s="62">
        <v>4.9000000000000004</v>
      </c>
      <c r="D36" s="164">
        <v>22.045999999999999</v>
      </c>
      <c r="E36" s="165">
        <v>0.5</v>
      </c>
      <c r="F36" s="165">
        <v>0.85</v>
      </c>
      <c r="G36" s="163"/>
      <c r="H36" s="153"/>
      <c r="J36" s="166"/>
      <c r="K36" s="166"/>
      <c r="L36" s="166"/>
      <c r="M36" s="166"/>
      <c r="N36" s="166"/>
      <c r="R36" s="136"/>
    </row>
    <row r="37" spans="2:18" x14ac:dyDescent="0.2">
      <c r="B37" s="163" t="s">
        <v>73</v>
      </c>
      <c r="C37" s="62">
        <v>4.2</v>
      </c>
      <c r="D37" s="164">
        <v>22.045999999999999</v>
      </c>
      <c r="E37" s="165">
        <v>0.65</v>
      </c>
      <c r="F37" s="165">
        <v>0.8</v>
      </c>
      <c r="G37" s="167"/>
      <c r="H37" s="153"/>
    </row>
    <row r="38" spans="2:18" x14ac:dyDescent="0.2">
      <c r="B38" s="67" t="s">
        <v>74</v>
      </c>
      <c r="C38" s="68">
        <v>3.35</v>
      </c>
      <c r="D38" s="168">
        <v>1</v>
      </c>
      <c r="E38" s="169">
        <v>0.95</v>
      </c>
      <c r="F38" s="72">
        <v>0.8</v>
      </c>
      <c r="G38" s="170"/>
      <c r="H38" s="153"/>
    </row>
    <row r="39" spans="2:18" x14ac:dyDescent="0.2">
      <c r="B39" s="137" t="s">
        <v>103</v>
      </c>
      <c r="C39" s="137"/>
      <c r="D39" s="138"/>
      <c r="E39" s="138"/>
      <c r="F39" s="138"/>
      <c r="G39" s="138"/>
      <c r="H39" s="66"/>
    </row>
    <row r="40" spans="2:18" x14ac:dyDescent="0.2">
      <c r="B40" s="151" t="s">
        <v>104</v>
      </c>
      <c r="C40" s="163"/>
      <c r="D40" s="78"/>
      <c r="E40" s="78"/>
      <c r="F40" s="78"/>
      <c r="G40" s="78"/>
      <c r="H40" s="153"/>
    </row>
    <row r="41" spans="2:18" x14ac:dyDescent="0.2">
      <c r="B41" s="154" t="s">
        <v>68</v>
      </c>
      <c r="C41" s="154"/>
      <c r="D41" s="171"/>
      <c r="E41" s="171"/>
      <c r="F41" s="171"/>
      <c r="G41" s="171"/>
      <c r="H41" s="161"/>
    </row>
    <row r="42" spans="2:18" x14ac:dyDescent="0.2">
      <c r="B42" s="78"/>
      <c r="C42" s="78"/>
      <c r="D42" s="78"/>
      <c r="E42" s="78"/>
      <c r="F42" s="78"/>
      <c r="G42" s="78"/>
      <c r="H42" s="79"/>
    </row>
    <row r="43" spans="2:18" ht="14.25" x14ac:dyDescent="0.2">
      <c r="B43" s="132" t="s">
        <v>75</v>
      </c>
      <c r="C43" s="81"/>
      <c r="D43" s="81"/>
      <c r="E43" s="81"/>
      <c r="F43" s="81"/>
      <c r="G43" s="81"/>
      <c r="H43" s="81"/>
    </row>
    <row r="44" spans="2:18" x14ac:dyDescent="0.2">
      <c r="B44" s="81"/>
      <c r="C44" s="81"/>
      <c r="D44" s="81"/>
      <c r="E44" s="81"/>
      <c r="F44" s="81"/>
      <c r="G44" s="81"/>
      <c r="H44" s="81"/>
    </row>
    <row r="45" spans="2:18" x14ac:dyDescent="0.2">
      <c r="B45" s="162" t="s">
        <v>48</v>
      </c>
      <c r="C45" s="133" t="s">
        <v>105</v>
      </c>
      <c r="D45" s="133" t="s">
        <v>106</v>
      </c>
      <c r="E45" s="133" t="s">
        <v>49</v>
      </c>
      <c r="F45" s="133" t="s">
        <v>50</v>
      </c>
      <c r="G45" s="162" t="s">
        <v>107</v>
      </c>
      <c r="H45" s="133"/>
    </row>
    <row r="46" spans="2:18" x14ac:dyDescent="0.2">
      <c r="B46" s="142"/>
      <c r="C46" s="67"/>
      <c r="D46" s="67"/>
      <c r="E46" s="134" t="s">
        <v>51</v>
      </c>
      <c r="F46" s="67"/>
      <c r="G46" s="142"/>
      <c r="H46" s="67"/>
    </row>
    <row r="47" spans="2:18" x14ac:dyDescent="0.2">
      <c r="B47" s="163" t="s">
        <v>72</v>
      </c>
      <c r="C47" s="62">
        <v>12</v>
      </c>
      <c r="D47" s="164">
        <v>22.045999999999999</v>
      </c>
      <c r="E47" s="165">
        <v>0.5</v>
      </c>
      <c r="F47" s="165">
        <v>0.85</v>
      </c>
      <c r="G47" s="163"/>
      <c r="H47" s="153"/>
    </row>
    <row r="48" spans="2:18" x14ac:dyDescent="0.2">
      <c r="B48" s="163" t="s">
        <v>73</v>
      </c>
      <c r="C48" s="62">
        <v>3.5</v>
      </c>
      <c r="D48" s="164">
        <v>22.045999999999999</v>
      </c>
      <c r="E48" s="165">
        <v>0.65</v>
      </c>
      <c r="F48" s="165">
        <v>0.8</v>
      </c>
      <c r="G48" s="167"/>
      <c r="H48" s="153"/>
    </row>
    <row r="49" spans="1:9" x14ac:dyDescent="0.2">
      <c r="B49" s="67" t="s">
        <v>74</v>
      </c>
      <c r="C49" s="68">
        <v>0.61</v>
      </c>
      <c r="D49" s="168">
        <v>1</v>
      </c>
      <c r="E49" s="169">
        <v>0.95</v>
      </c>
      <c r="F49" s="72">
        <v>0.8</v>
      </c>
      <c r="G49" s="170"/>
      <c r="H49" s="153"/>
    </row>
    <row r="50" spans="1:9" x14ac:dyDescent="0.2">
      <c r="B50" s="137" t="s">
        <v>103</v>
      </c>
      <c r="C50" s="137"/>
      <c r="D50" s="138"/>
      <c r="E50" s="138"/>
      <c r="F50" s="138"/>
      <c r="G50" s="138"/>
      <c r="H50" s="66"/>
    </row>
    <row r="51" spans="1:9" x14ac:dyDescent="0.2">
      <c r="B51" s="151" t="s">
        <v>104</v>
      </c>
      <c r="C51" s="163"/>
      <c r="D51" s="78"/>
      <c r="E51" s="78"/>
      <c r="F51" s="78"/>
      <c r="G51" s="78"/>
      <c r="H51" s="153"/>
    </row>
    <row r="52" spans="1:9" x14ac:dyDescent="0.2">
      <c r="B52" s="172" t="s">
        <v>68</v>
      </c>
      <c r="C52" s="154"/>
      <c r="D52" s="171"/>
      <c r="E52" s="171"/>
      <c r="F52" s="171"/>
      <c r="G52" s="171"/>
      <c r="H52" s="161"/>
      <c r="I52" s="81"/>
    </row>
    <row r="53" spans="1:9" x14ac:dyDescent="0.2">
      <c r="B53" s="78"/>
      <c r="C53" s="78"/>
      <c r="D53" s="78"/>
      <c r="E53" s="78"/>
      <c r="F53" s="78"/>
      <c r="G53" s="78"/>
      <c r="H53" s="79"/>
    </row>
    <row r="54" spans="1:9" ht="14.25" x14ac:dyDescent="0.2">
      <c r="B54" s="132" t="s">
        <v>76</v>
      </c>
    </row>
    <row r="56" spans="1:9" x14ac:dyDescent="0.2">
      <c r="A56" s="81"/>
      <c r="B56" s="173" t="s">
        <v>48</v>
      </c>
      <c r="C56" s="59" t="s">
        <v>105</v>
      </c>
      <c r="D56" s="59" t="s">
        <v>106</v>
      </c>
      <c r="E56" s="59" t="s">
        <v>49</v>
      </c>
      <c r="F56" s="59" t="s">
        <v>50</v>
      </c>
      <c r="G56" s="173" t="s">
        <v>107</v>
      </c>
      <c r="H56" s="59"/>
    </row>
    <row r="57" spans="1:9" x14ac:dyDescent="0.2">
      <c r="B57" s="174"/>
      <c r="C57" s="60"/>
      <c r="D57" s="60"/>
      <c r="E57" s="60" t="s">
        <v>51</v>
      </c>
      <c r="F57" s="60"/>
      <c r="G57" s="174"/>
      <c r="H57" s="175"/>
    </row>
    <row r="58" spans="1:9" x14ac:dyDescent="0.2">
      <c r="A58" s="81"/>
      <c r="B58" s="61" t="s">
        <v>52</v>
      </c>
      <c r="C58" s="158">
        <v>1.3</v>
      </c>
      <c r="D58" s="63">
        <v>22.045999999999999</v>
      </c>
      <c r="E58" s="64">
        <v>0.65</v>
      </c>
      <c r="F58" s="61">
        <v>0.85</v>
      </c>
      <c r="G58" s="65"/>
      <c r="H58" s="158"/>
    </row>
    <row r="59" spans="1:9" x14ac:dyDescent="0.2">
      <c r="A59" s="81"/>
      <c r="B59" s="152" t="s">
        <v>72</v>
      </c>
      <c r="C59" s="158">
        <v>3</v>
      </c>
      <c r="D59" s="63">
        <v>22.045999999999999</v>
      </c>
      <c r="E59" s="64">
        <v>0.5</v>
      </c>
      <c r="F59" s="61">
        <v>0.85</v>
      </c>
      <c r="G59" s="152"/>
      <c r="H59" s="158"/>
    </row>
    <row r="60" spans="1:9" x14ac:dyDescent="0.2">
      <c r="A60" s="81"/>
      <c r="B60" s="152" t="s">
        <v>73</v>
      </c>
      <c r="C60" s="158">
        <v>1</v>
      </c>
      <c r="D60" s="63">
        <v>22.045999999999999</v>
      </c>
      <c r="E60" s="64">
        <v>0.65</v>
      </c>
      <c r="F60" s="158">
        <v>0.8</v>
      </c>
      <c r="G60" s="176"/>
      <c r="H60" s="158"/>
    </row>
    <row r="61" spans="1:9" x14ac:dyDescent="0.2">
      <c r="A61" s="177"/>
      <c r="B61" s="67" t="s">
        <v>74</v>
      </c>
      <c r="C61" s="71">
        <v>0.42</v>
      </c>
      <c r="D61" s="69">
        <v>1</v>
      </c>
      <c r="E61" s="70">
        <v>0.95</v>
      </c>
      <c r="F61" s="71">
        <v>0.8</v>
      </c>
      <c r="G61" s="148"/>
      <c r="H61" s="158"/>
    </row>
    <row r="62" spans="1:9" x14ac:dyDescent="0.2">
      <c r="B62" s="149" t="s">
        <v>103</v>
      </c>
      <c r="C62" s="149"/>
      <c r="D62" s="150"/>
      <c r="E62" s="150"/>
      <c r="F62" s="150"/>
      <c r="G62" s="150"/>
      <c r="H62" s="178"/>
    </row>
    <row r="63" spans="1:9" x14ac:dyDescent="0.2">
      <c r="B63" s="151" t="s">
        <v>104</v>
      </c>
      <c r="C63" s="152"/>
      <c r="D63" s="73"/>
      <c r="E63" s="73"/>
      <c r="F63" s="73"/>
      <c r="G63" s="73"/>
      <c r="H63" s="153"/>
    </row>
    <row r="64" spans="1:9" x14ac:dyDescent="0.2">
      <c r="B64" s="154" t="s">
        <v>68</v>
      </c>
      <c r="C64" s="74"/>
      <c r="D64" s="75"/>
      <c r="E64" s="75"/>
      <c r="F64" s="75"/>
      <c r="G64" s="75"/>
      <c r="H64" s="161"/>
    </row>
    <row r="68" spans="2:4" ht="14.25" x14ac:dyDescent="0.2">
      <c r="B68" s="132"/>
      <c r="C68" s="132"/>
      <c r="D68" s="132"/>
    </row>
    <row r="69" spans="2:4" ht="14.25" x14ac:dyDescent="0.2">
      <c r="B69" s="132"/>
      <c r="C69" s="132"/>
      <c r="D69" s="132"/>
    </row>
    <row r="70" spans="2:4" ht="14.25" x14ac:dyDescent="0.2">
      <c r="B70" s="132"/>
      <c r="C70" s="132"/>
      <c r="D70" s="132"/>
    </row>
    <row r="71" spans="2:4" ht="14.25" x14ac:dyDescent="0.2">
      <c r="B71" s="132"/>
      <c r="C71" s="132"/>
      <c r="D71" s="132"/>
    </row>
    <row r="72" spans="2:4" ht="14.25" x14ac:dyDescent="0.2">
      <c r="B72" s="132"/>
      <c r="C72" s="132"/>
      <c r="D72" s="132"/>
    </row>
    <row r="73" spans="2:4" ht="14.25" x14ac:dyDescent="0.2">
      <c r="B73" s="132"/>
      <c r="C73" s="132"/>
      <c r="D73" s="132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2" sqref="A2"/>
    </sheetView>
  </sheetViews>
  <sheetFormatPr baseColWidth="10" defaultRowHeight="12.75" x14ac:dyDescent="0.2"/>
  <cols>
    <col min="1" max="1" width="19.140625" customWidth="1"/>
    <col min="2" max="2" width="13.140625" customWidth="1"/>
    <col min="3" max="3" width="28.7109375" customWidth="1"/>
    <col min="4" max="4" width="25.7109375" bestFit="1" customWidth="1"/>
    <col min="5" max="5" width="15.28515625" customWidth="1"/>
  </cols>
  <sheetData>
    <row r="1" spans="1:6" ht="48.75" customHeight="1" x14ac:dyDescent="0.2">
      <c r="A1" s="179"/>
      <c r="B1" s="179"/>
      <c r="C1" s="179"/>
    </row>
    <row r="2" spans="1:6" ht="18" x14ac:dyDescent="0.25">
      <c r="A2" s="180" t="s">
        <v>109</v>
      </c>
    </row>
    <row r="4" spans="1:6" ht="13.5" thickBot="1" x14ac:dyDescent="0.25"/>
    <row r="5" spans="1:6" ht="18" x14ac:dyDescent="0.25">
      <c r="A5" s="181" t="s">
        <v>77</v>
      </c>
      <c r="B5" s="182"/>
      <c r="C5" s="182"/>
      <c r="D5" s="183"/>
    </row>
    <row r="6" spans="1:6" ht="18" x14ac:dyDescent="0.25">
      <c r="A6" s="184"/>
      <c r="B6" s="185"/>
      <c r="C6" s="186" t="s">
        <v>98</v>
      </c>
      <c r="D6" s="187" t="s">
        <v>101</v>
      </c>
      <c r="E6" s="188" t="s">
        <v>78</v>
      </c>
      <c r="F6" s="189" t="s">
        <v>47</v>
      </c>
    </row>
    <row r="7" spans="1:6" ht="18" x14ac:dyDescent="0.25">
      <c r="A7" s="184" t="s">
        <v>79</v>
      </c>
      <c r="B7" s="189" t="s">
        <v>80</v>
      </c>
      <c r="C7" s="190">
        <v>2.3199999999999998</v>
      </c>
      <c r="D7" s="191">
        <v>3</v>
      </c>
      <c r="E7" s="192">
        <v>0.85</v>
      </c>
      <c r="F7" s="192">
        <v>0.65</v>
      </c>
    </row>
    <row r="8" spans="1:6" ht="18" x14ac:dyDescent="0.25">
      <c r="A8" s="184" t="s">
        <v>81</v>
      </c>
      <c r="B8" s="189" t="s">
        <v>82</v>
      </c>
      <c r="C8" s="190">
        <v>5.69</v>
      </c>
      <c r="D8" s="191">
        <v>0.9</v>
      </c>
      <c r="E8" s="192">
        <v>0.9</v>
      </c>
      <c r="F8" s="192">
        <v>0.5</v>
      </c>
    </row>
    <row r="9" spans="1:6" ht="18" x14ac:dyDescent="0.25">
      <c r="A9" s="184" t="s">
        <v>83</v>
      </c>
      <c r="B9" s="189" t="s">
        <v>84</v>
      </c>
      <c r="C9" s="190">
        <v>1</v>
      </c>
      <c r="D9" s="191">
        <v>0.8</v>
      </c>
      <c r="E9" s="192">
        <v>0.8</v>
      </c>
      <c r="F9" s="192">
        <v>0.65</v>
      </c>
    </row>
    <row r="10" spans="1:6" ht="18" x14ac:dyDescent="0.25">
      <c r="A10" s="184"/>
      <c r="B10" s="185"/>
      <c r="C10" s="185" t="s">
        <v>99</v>
      </c>
      <c r="D10" s="187" t="s">
        <v>102</v>
      </c>
      <c r="E10" s="192"/>
      <c r="F10" s="192"/>
    </row>
    <row r="11" spans="1:6" ht="18" x14ac:dyDescent="0.25">
      <c r="A11" s="184" t="s">
        <v>85</v>
      </c>
      <c r="B11" s="189" t="s">
        <v>86</v>
      </c>
      <c r="C11" s="190">
        <v>0.08</v>
      </c>
      <c r="D11" s="191">
        <v>1250</v>
      </c>
      <c r="E11" s="192">
        <v>0.8</v>
      </c>
      <c r="F11" s="192">
        <v>0.95</v>
      </c>
    </row>
    <row r="12" spans="1:6" ht="18.75" thickBot="1" x14ac:dyDescent="0.3">
      <c r="A12" s="193" t="s">
        <v>87</v>
      </c>
      <c r="B12" s="194" t="s">
        <v>88</v>
      </c>
      <c r="C12" s="195">
        <v>0.1</v>
      </c>
      <c r="D12" s="196">
        <v>20</v>
      </c>
      <c r="E12" s="192">
        <v>0.8</v>
      </c>
      <c r="F12" s="192">
        <v>0.95</v>
      </c>
    </row>
    <row r="13" spans="1:6" x14ac:dyDescent="0.2">
      <c r="A13" s="73"/>
      <c r="B13" s="73"/>
      <c r="C13" s="73"/>
    </row>
    <row r="14" spans="1:6" ht="13.5" thickBot="1" x14ac:dyDescent="0.25"/>
    <row r="15" spans="1:6" ht="18" x14ac:dyDescent="0.25">
      <c r="A15" s="181" t="s">
        <v>89</v>
      </c>
      <c r="B15" s="182"/>
      <c r="C15" s="183"/>
    </row>
    <row r="16" spans="1:6" ht="18" x14ac:dyDescent="0.25">
      <c r="A16" s="184"/>
      <c r="B16" s="185"/>
      <c r="C16" s="187" t="s">
        <v>90</v>
      </c>
    </row>
    <row r="17" spans="1:3" ht="18.75" x14ac:dyDescent="0.3">
      <c r="A17" s="184" t="s">
        <v>91</v>
      </c>
      <c r="B17" s="185" t="str">
        <f>B7</f>
        <v>Cu</v>
      </c>
      <c r="C17" s="197">
        <f>C26/D7/22.046</f>
        <v>3.3607113777253623</v>
      </c>
    </row>
    <row r="18" spans="1:3" ht="18.75" x14ac:dyDescent="0.3">
      <c r="A18" s="184" t="s">
        <v>92</v>
      </c>
      <c r="B18" s="185" t="str">
        <f>B8</f>
        <v>Zn</v>
      </c>
      <c r="C18" s="197">
        <f>C26/D8/22.046</f>
        <v>11.202371259084542</v>
      </c>
    </row>
    <row r="19" spans="1:3" ht="18.75" x14ac:dyDescent="0.3">
      <c r="A19" s="184" t="s">
        <v>93</v>
      </c>
      <c r="B19" s="185" t="str">
        <f>B9</f>
        <v>Pb</v>
      </c>
      <c r="C19" s="205">
        <f>C26/D9/22.046</f>
        <v>12.60266766647011</v>
      </c>
    </row>
    <row r="20" spans="1:3" ht="18" x14ac:dyDescent="0.25">
      <c r="A20" s="184"/>
      <c r="B20" s="185"/>
      <c r="C20" s="187" t="s">
        <v>94</v>
      </c>
    </row>
    <row r="21" spans="1:3" ht="18.75" x14ac:dyDescent="0.3">
      <c r="A21" s="184" t="s">
        <v>95</v>
      </c>
      <c r="B21" s="185" t="str">
        <f>B11</f>
        <v>Au</v>
      </c>
      <c r="C21" s="198">
        <f>C26/(D11/31.1)</f>
        <v>5.5300957400080009</v>
      </c>
    </row>
    <row r="22" spans="1:3" ht="19.5" thickBot="1" x14ac:dyDescent="0.35">
      <c r="A22" s="184" t="s">
        <v>96</v>
      </c>
      <c r="B22" s="185" t="str">
        <f>B12</f>
        <v>Ag</v>
      </c>
      <c r="C22" s="197">
        <f>(C26/D12)/22.046</f>
        <v>0.5041067066588043</v>
      </c>
    </row>
    <row r="23" spans="1:3" ht="19.5" thickTop="1" x14ac:dyDescent="0.3">
      <c r="A23" s="199"/>
      <c r="B23" s="199"/>
      <c r="C23" s="200"/>
    </row>
    <row r="24" spans="1:3" ht="18.75" thickBot="1" x14ac:dyDescent="0.3">
      <c r="A24" s="188"/>
      <c r="B24" s="188"/>
      <c r="C24" s="188"/>
    </row>
    <row r="25" spans="1:3" ht="18" x14ac:dyDescent="0.25">
      <c r="A25" s="181" t="s">
        <v>97</v>
      </c>
      <c r="B25" s="201"/>
      <c r="C25" s="202" t="s">
        <v>100</v>
      </c>
    </row>
    <row r="26" spans="1:3" ht="19.5" thickBot="1" x14ac:dyDescent="0.35">
      <c r="A26" s="193"/>
      <c r="B26" s="203"/>
      <c r="C26" s="204">
        <f>(C7*22.046*D7*0.65*0.85)+(C8*22.046*D8*0.5*0.9)+(C9*22.046*D9*0.65*0.8)+(C11*D11*0.95*0.8)+(C12*D12*0.95*0.8)</f>
        <v>222.27072910000001</v>
      </c>
    </row>
    <row r="28" spans="1:3" ht="18" x14ac:dyDescent="0.25">
      <c r="A28" s="188"/>
      <c r="B28" s="188"/>
      <c r="C28" s="18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Cash Flow</vt:lpstr>
      <vt:lpstr>Surface Models</vt:lpstr>
      <vt:lpstr>Underground Models</vt:lpstr>
      <vt:lpstr>Mill Models</vt:lpstr>
      <vt:lpstr>NSR</vt:lpstr>
      <vt:lpstr>Metal Equivalents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Steinmuller</dc:creator>
  <cp:lastModifiedBy>Wortberg, Nils</cp:lastModifiedBy>
  <cp:lastPrinted>2006-02-07T22:26:41Z</cp:lastPrinted>
  <dcterms:created xsi:type="dcterms:W3CDTF">2000-11-09T18:27:07Z</dcterms:created>
  <dcterms:modified xsi:type="dcterms:W3CDTF">2021-02-18T17:00:14Z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{9950C256-B69F-4F7A-B842-488A598FAE23}</vt:lpwstr>
  </property>
</Properties>
</file>